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4.xml" ContentType="application/vnd.openxmlformats-officedocument.drawing+xml"/>
  <Override PartName="/xl/chartsheets/sheet9.xml" ContentType="application/vnd.openxmlformats-officedocument.spreadsheetml.chartsheet+xml"/>
  <Override PartName="/xl/drawings/drawing15.xml" ContentType="application/vnd.openxmlformats-officedocument.drawing+xml"/>
  <Override PartName="/xl/chartsheets/sheet10.xml" ContentType="application/vnd.openxmlformats-officedocument.spreadsheetml.chartsheet+xml"/>
  <Override PartName="/xl/drawings/drawing16.xml" ContentType="application/vnd.openxmlformats-officedocument.drawing+xml"/>
  <Override PartName="/xl/chartsheets/sheet11.xml" ContentType="application/vnd.openxmlformats-officedocument.spreadsheetml.chartsheet+xml"/>
  <Override PartName="/xl/drawings/drawing17.xml" ContentType="application/vnd.openxmlformats-officedocument.drawing+xml"/>
  <Override PartName="/xl/chartsheets/sheet12.xml" ContentType="application/vnd.openxmlformats-officedocument.spreadsheetml.chartsheet+xml"/>
  <Override PartName="/xl/drawings/drawing18.xml" ContentType="application/vnd.openxmlformats-officedocument.drawing+xml"/>
  <Override PartName="/xl/chartsheets/sheet13.xml" ContentType="application/vnd.openxmlformats-officedocument.spreadsheetml.chartsheet+xml"/>
  <Override PartName="/xl/drawings/drawing19.xml" ContentType="application/vnd.openxmlformats-officedocument.drawing+xml"/>
  <Override PartName="/xl/chartsheets/sheet14.xml" ContentType="application/vnd.openxmlformats-officedocument.spreadsheetml.chartsheet+xml"/>
  <Override PartName="/xl/drawings/drawing20.xml" ContentType="application/vnd.openxmlformats-officedocument.drawing+xml"/>
  <Override PartName="/xl/chartsheets/sheet15.xml" ContentType="application/vnd.openxmlformats-officedocument.spreadsheetml.chartsheet+xml"/>
  <Override PartName="/xl/drawings/drawing21.xml" ContentType="application/vnd.openxmlformats-officedocument.drawing+xml"/>
  <Override PartName="/xl/chartsheets/sheet16.xml" ContentType="application/vnd.openxmlformats-officedocument.spreadsheetml.chartsheet+xml"/>
  <Override PartName="/xl/drawings/drawing22.xml" ContentType="application/vnd.openxmlformats-officedocument.drawing+xml"/>
  <Override PartName="/xl/chartsheets/sheet17.xml" ContentType="application/vnd.openxmlformats-officedocument.spreadsheetml.chartsheet+xml"/>
  <Override PartName="/xl/drawings/drawing23.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chartsheets/sheet19.xml" ContentType="application/vnd.openxmlformats-officedocument.spreadsheetml.chartsheet+xml"/>
  <Override PartName="/xl/drawings/drawing25.xml" ContentType="application/vnd.openxmlformats-officedocument.drawing+xml"/>
  <Override PartName="/xl/chartsheets/sheet20.xml" ContentType="application/vnd.openxmlformats-officedocument.spreadsheetml.chart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15480" windowHeight="11445" tabRatio="945" activeTab="0"/>
  </bookViews>
  <sheets>
    <sheet name="Site Info" sheetId="1" r:id="rId1"/>
    <sheet name="Alternatives" sheetId="2" r:id="rId2"/>
    <sheet name="INPUTS" sheetId="3" r:id="rId3"/>
    <sheet name="Consequence table" sheetId="4" r:id="rId4"/>
    <sheet name="Scaling Functions" sheetId="5" state="hidden" r:id="rId5"/>
    <sheet name="Weights-options" sheetId="6" state="hidden" r:id="rId6"/>
    <sheet name="Archived Inputs" sheetId="7" state="hidden" r:id="rId7"/>
    <sheet name="User-specified Weights" sheetId="8" r:id="rId8"/>
    <sheet name="User-specified Time value" sheetId="9" r:id="rId9"/>
    <sheet name="User-specified env. res. values" sheetId="10" r:id="rId10"/>
    <sheet name="Public HS (Alt. 1-10)" sheetId="11" r:id="rId11"/>
    <sheet name="Public HS (Alt. 11-20)" sheetId="12" r:id="rId12"/>
    <sheet name="Worker HS (Alt. 1-10)" sheetId="13" r:id="rId13"/>
    <sheet name="Worker HS (Alt. 11-20)" sheetId="14" r:id="rId14"/>
    <sheet name="Env (Alt. 1-10)" sheetId="15" r:id="rId15"/>
    <sheet name="Env (Alt. 11-20)" sheetId="16" r:id="rId16"/>
    <sheet name="RR (Alt. 1-10)" sheetId="17" r:id="rId17"/>
    <sheet name="RR (Alt. 11-20)" sheetId="18" r:id="rId18"/>
    <sheet name="TC (Alt. 1-10)" sheetId="19" r:id="rId19"/>
    <sheet name="TC (Alt. 11-20)" sheetId="20" r:id="rId20"/>
    <sheet name="Costs (Alt. 1-10)" sheetId="21" r:id="rId21"/>
    <sheet name="Costs (Alt. 11-20)" sheetId="22" r:id="rId22"/>
    <sheet name="Wgt1 (Alt. 1-10)" sheetId="23" r:id="rId23"/>
    <sheet name="Wgt1 (Alt. 11-20)" sheetId="24" r:id="rId24"/>
    <sheet name="Wgt2 (Alt. 1-10)" sheetId="25" r:id="rId25"/>
    <sheet name="Wgt2 (Alt. 11-20)" sheetId="26" r:id="rId26"/>
    <sheet name="Wgt3 (Alt. 1-10)" sheetId="27" r:id="rId27"/>
    <sheet name="Wgt3 (Alt. 11-20)" sheetId="28" r:id="rId28"/>
    <sheet name="User-specified  (Alt. 1-10)" sheetId="29" r:id="rId29"/>
    <sheet name="User-specified  (Alt. 11-20)" sheetId="30" r:id="rId30"/>
  </sheets>
  <externalReferences>
    <externalReference r:id="rId33"/>
    <externalReference r:id="rId34"/>
    <externalReference r:id="rId35"/>
  </externalReferences>
  <definedNames>
    <definedName name="barrier_value">#REF!</definedName>
    <definedName name="change_rep_value">'[1]Value functions'!#REF!</definedName>
    <definedName name="confidence_value">'[1]Value functions'!#REF!</definedName>
    <definedName name="Discount">#REF!</definedName>
    <definedName name="Discount_rate">#REF!</definedName>
    <definedName name="Estimated_cost">#REF!</definedName>
    <definedName name="gw_value">#REF!</definedName>
    <definedName name="health_dr">'Scaling Functions'!$C$54</definedName>
    <definedName name="HS_likelihood" localSheetId="3">'[3]Menu entries'!$B$3:$B$9</definedName>
    <definedName name="HS_likelihood">#REF!</definedName>
    <definedName name="igneous_impact_value">#REF!</definedName>
    <definedName name="Inputs_matrix" localSheetId="3">'Archived Inputs'!$B$5:$AV$24</definedName>
    <definedName name="Inputs_matrix">'Archived Inputs'!$B$5:$AV$24</definedName>
    <definedName name="intrusion_value">#REF!</definedName>
    <definedName name="kti_value">#REF!</definedName>
    <definedName name="L_env">'Scaling Functions'!$C$95:$D$102</definedName>
    <definedName name="L_exposure">'Scaling Functions'!$C$3:$D$10</definedName>
    <definedName name="L_HealthImpact">'Scaling Functions'!$C$36:$D$43</definedName>
    <definedName name="L_Wexp">'Scaling Functions'!$C$57:$D$64</definedName>
    <definedName name="likelihood_value">#REF!</definedName>
    <definedName name="new_fep_value">#REF!</definedName>
    <definedName name="Num_alternatives" localSheetId="7">#REF!</definedName>
    <definedName name="Num_alternatives" localSheetId="5">#REF!</definedName>
    <definedName name="Num_alternatives">'Alternatives'!$C$25</definedName>
    <definedName name="Num_exposed">'Scaling Functions'!$C$14:$D$19</definedName>
    <definedName name="Num_Wexp">'Scaling Functions'!$C$67:$D$70</definedName>
    <definedName name="peak_impact_value">#REF!</definedName>
    <definedName name="_xlnm.Print_Area" localSheetId="3">'Consequence table'!$A$2:$J$63</definedName>
    <definedName name="_xlnm.Print_Area" localSheetId="4">'Scaling Functions'!$A$1:$D$165</definedName>
    <definedName name="_xlnm.Print_Titles" localSheetId="4">'Scaling Functions'!$1:$1</definedName>
    <definedName name="qa_total">#REF!</definedName>
    <definedName name="Reg_total">#REF!</definedName>
    <definedName name="reviewer_value">#REF!</definedName>
    <definedName name="Risk_total">#REF!</definedName>
    <definedName name="RR">'Scaling Functions'!$C$117:$D$122</definedName>
    <definedName name="S_env">'Scaling Functions'!$C$106:$D$112</definedName>
    <definedName name="S_health">'Scaling Functions'!$C$47:$D$51</definedName>
    <definedName name="S_Whealth">'Scaling Functions'!$C$74:$D$78</definedName>
    <definedName name="T_exposed">'Scaling Functions'!$C$25:$D$31</definedName>
    <definedName name="teset">#REF!</definedName>
    <definedName name="Time_completion">'Scaling Functions'!$C$125:$D$131</definedName>
    <definedName name="Time_completion_user">'Scaling Functions'!$E$125:$F$131</definedName>
    <definedName name="time_value">#REF!</definedName>
    <definedName name="TSPA_impact_value">#REF!</definedName>
    <definedName name="TSPA_Model_Component" localSheetId="2">'INPUTS'!$A$2</definedName>
    <definedName name="TSPA_Model_Component">#REF!</definedName>
    <definedName name="Unc_High">'Scaling Functions'!$C$143:$D$148</definedName>
    <definedName name="Unc_Low">'Scaling Functions'!$C$136:$D$139</definedName>
    <definedName name="uncertainty_impact_value">#REF!</definedName>
    <definedName name="user_health_dr">'User-specified Weights'!$D$13</definedName>
    <definedName name="w_Cost">'User-specified Weights'!$H$11</definedName>
    <definedName name="w_Env" localSheetId="7">'User-specified Weights'!$H$8</definedName>
    <definedName name="w_gwconcen">#REF!</definedName>
    <definedName name="w_HS" localSheetId="7">'User-specified Weights'!$H$7</definedName>
    <definedName name="w_RR" localSheetId="7">'User-specified Weights'!$H$9</definedName>
    <definedName name="w_Time" localSheetId="7">'User-specified Weights'!$H$10</definedName>
    <definedName name="w_TimeComplete" localSheetId="5">'Weights-options'!$F$11</definedName>
  </definedNames>
  <calcPr fullCalcOnLoad="1"/>
</workbook>
</file>

<file path=xl/comments1.xml><?xml version="1.0" encoding="utf-8"?>
<comments xmlns="http://schemas.openxmlformats.org/spreadsheetml/2006/main">
  <authors>
    <author>kstelman</author>
  </authors>
  <commentList>
    <comment ref="A14" authorId="0">
      <text>
        <r>
          <rPr>
            <b/>
            <sz val="8"/>
            <rFont val="Tahoma"/>
            <family val="2"/>
          </rPr>
          <t xml:space="preserve">Impacts on the environment
</t>
        </r>
        <r>
          <rPr>
            <sz val="8"/>
            <rFont val="Tahoma"/>
            <family val="2"/>
          </rPr>
          <t xml:space="preserve">The impact on the natural environment from contamination problems at the site is a function of:
        • the type of environmental resources potentially affected;
        • the likelihood of an impact on those resources;
        • the severity and duration of the impact.
To evaluate the impact on the environment from the specific site and/or problem, first consider the various environmental resources that might be affected by the contaminant plume and indicate all resource types that could be affected using the checklist below.  
Then, for each alternative being considered, estimate the likelihood those resources will be impacted and the severity of the impact, if it occurs.  If the likelihood and severity of impact differs for the various resources identified, they can and should be scored separately.
</t>
        </r>
        <r>
          <rPr>
            <b/>
            <sz val="8"/>
            <rFont val="Tahoma"/>
            <family val="2"/>
          </rPr>
          <t xml:space="preserve">
Type and sensitivity of resources potentially affected
</t>
        </r>
        <r>
          <rPr>
            <sz val="8"/>
            <rFont val="Tahoma"/>
            <family val="2"/>
          </rPr>
          <t xml:space="preserve">Consider the history, current status, and projected future movements of the plume.  Specify below of the types and sensitivity of environmental resources potentially impacted by the contaminant plume.  Identify all resource types that could be affected.
</t>
        </r>
      </text>
    </comment>
    <comment ref="A7" authorId="0">
      <text>
        <r>
          <rPr>
            <b/>
            <sz val="8"/>
            <rFont val="Tahoma"/>
            <family val="2"/>
          </rPr>
          <t xml:space="preserve">Impacts on public health and safety
</t>
        </r>
        <r>
          <rPr>
            <sz val="8"/>
            <rFont val="Tahoma"/>
            <family val="2"/>
          </rPr>
          <t xml:space="preserve">For chlorinated solvent plumes in groundwater, the main human health risk concern is that people may be exposed to elevated levels of VOCs in the groundwater through the following potential exposure pathways: 
        (1) </t>
        </r>
        <r>
          <rPr>
            <b/>
            <sz val="8"/>
            <rFont val="Tahoma"/>
            <family val="2"/>
          </rPr>
          <t xml:space="preserve">ingestion </t>
        </r>
        <r>
          <rPr>
            <sz val="8"/>
            <rFont val="Tahoma"/>
            <family val="2"/>
          </rPr>
          <t xml:space="preserve">of contaminated groundwater or, potentially, surface water impacted by the 
        groundwater plume, 
        (2) </t>
        </r>
        <r>
          <rPr>
            <b/>
            <sz val="8"/>
            <rFont val="Tahoma"/>
            <family val="2"/>
          </rPr>
          <t xml:space="preserve">dermal contact </t>
        </r>
        <r>
          <rPr>
            <sz val="8"/>
            <rFont val="Tahoma"/>
            <family val="2"/>
          </rPr>
          <t xml:space="preserve">with contaminated water through use of the groundwater resource via                 
        private wells, and 
        (3) </t>
        </r>
        <r>
          <rPr>
            <b/>
            <sz val="8"/>
            <rFont val="Tahoma"/>
            <family val="2"/>
          </rPr>
          <t xml:space="preserve">inhalation </t>
        </r>
        <r>
          <rPr>
            <sz val="8"/>
            <rFont val="Tahoma"/>
            <family val="2"/>
          </rPr>
          <t xml:space="preserve">of vapor from groundwater or soil contamination permeating into enclosed 
        airspaces (e.g., buildings), or from volatilization of contaminants from water in use in the 
        building (e.g., during showering).
</t>
        </r>
        <r>
          <rPr>
            <b/>
            <sz val="8"/>
            <rFont val="Tahoma"/>
            <family val="2"/>
          </rPr>
          <t xml:space="preserve">
</t>
        </r>
        <r>
          <rPr>
            <sz val="8"/>
            <rFont val="Tahoma"/>
            <family val="2"/>
          </rPr>
          <t xml:space="preserve">You are encouraged to consider all potential pathways in estimating the impacts on public health and safety.  Please check below the exposure pathways potentially relevant for this site.  If the exposure pathway is not relevant, please provide a brief explanation for why you believe human exposures via that pathway are not credible.
</t>
        </r>
        <r>
          <rPr>
            <b/>
            <sz val="8"/>
            <rFont val="Tahoma"/>
            <family val="2"/>
          </rPr>
          <t xml:space="preserve">
</t>
        </r>
      </text>
    </comment>
  </commentList>
</comments>
</file>

<file path=xl/comments3.xml><?xml version="1.0" encoding="utf-8"?>
<comments xmlns="http://schemas.openxmlformats.org/spreadsheetml/2006/main">
  <authors>
    <author>kstelman</author>
  </authors>
  <commentList>
    <comment ref="A4" authorId="0">
      <text>
        <r>
          <rPr>
            <b/>
            <sz val="8"/>
            <rFont val="Tahoma"/>
            <family val="2"/>
          </rPr>
          <t xml:space="preserve">Likelihood of exposure to elevated levels* of contaminants from the site
</t>
        </r>
        <r>
          <rPr>
            <b/>
            <u val="single"/>
            <sz val="8"/>
            <rFont val="Tahoma"/>
            <family val="2"/>
          </rPr>
          <t xml:space="preserve">
</t>
        </r>
        <r>
          <rPr>
            <sz val="8"/>
            <rFont val="Tahoma"/>
            <family val="2"/>
          </rPr>
          <t xml:space="preserve">For the exposure pathway being evaluated, estimate the likelihood that any individuals will be exposed to elevated levels of contaminants (i.e., above background) from the site or the contamination problem being evaluated.  </t>
        </r>
        <r>
          <rPr>
            <b/>
            <u val="single"/>
            <sz val="8"/>
            <rFont val="Tahoma"/>
            <family val="2"/>
          </rPr>
          <t xml:space="preserve">
</t>
        </r>
        <r>
          <rPr>
            <b/>
            <sz val="8"/>
            <rFont val="Tahoma"/>
            <family val="2"/>
          </rPr>
          <t xml:space="preserve">
Extremely unlikely - </t>
        </r>
        <r>
          <rPr>
            <sz val="8"/>
            <rFont val="Tahoma"/>
            <family val="2"/>
          </rPr>
          <t xml:space="preserve">The chances that anyone will be exposed to elevated levels of contaminants from the site via this exposure pathway are no more than 1 chance in 1,000,000.
</t>
        </r>
        <r>
          <rPr>
            <b/>
            <sz val="8"/>
            <rFont val="Tahoma"/>
            <family val="2"/>
          </rPr>
          <t xml:space="preserve">
Very unlikely - </t>
        </r>
        <r>
          <rPr>
            <sz val="8"/>
            <rFont val="Tahoma"/>
            <family val="2"/>
          </rPr>
          <t xml:space="preserve">The chances that one or more people will be exposed to elevated levels of contaminants from the site via this exposure pathway are on the order of 1 chance in 100,000.
</t>
        </r>
        <r>
          <rPr>
            <b/>
            <sz val="8"/>
            <rFont val="Tahoma"/>
            <family val="2"/>
          </rPr>
          <t xml:space="preserve">
Unlikely - </t>
        </r>
        <r>
          <rPr>
            <sz val="8"/>
            <rFont val="Tahoma"/>
            <family val="2"/>
          </rPr>
          <t>The chances that one or more people will be exposed to elevated levels of contaminants from the site via this exposure pathway are on the order of 1 chance in 10,000.</t>
        </r>
        <r>
          <rPr>
            <b/>
            <sz val="8"/>
            <rFont val="Tahoma"/>
            <family val="2"/>
          </rPr>
          <t xml:space="preserve">
Somewhat unlikely - </t>
        </r>
        <r>
          <rPr>
            <sz val="8"/>
            <rFont val="Tahoma"/>
            <family val="2"/>
          </rPr>
          <t>The chances that one or more people will be exposed to elevated levels of contaminants from the site via this exposure pathway are on the order of 1 chance in 1,000.</t>
        </r>
        <r>
          <rPr>
            <b/>
            <sz val="8"/>
            <rFont val="Tahoma"/>
            <family val="2"/>
          </rPr>
          <t xml:space="preserve">
Relatively likely - </t>
        </r>
        <r>
          <rPr>
            <sz val="8"/>
            <rFont val="Tahoma"/>
            <family val="2"/>
          </rPr>
          <t>The chances that one or more people will be exposed to elevated levels of contaminants from the site via this exposure pathway are on the order of 1 chance in 100.</t>
        </r>
        <r>
          <rPr>
            <b/>
            <sz val="8"/>
            <rFont val="Tahoma"/>
            <family val="2"/>
          </rPr>
          <t xml:space="preserve">
Likely - </t>
        </r>
        <r>
          <rPr>
            <sz val="8"/>
            <rFont val="Tahoma"/>
            <family val="2"/>
          </rPr>
          <t>The chances that one or more people will be exposed to elevated levels of contaminants from the site via this exposure pathway are on the order of 1 chance in 10.</t>
        </r>
        <r>
          <rPr>
            <b/>
            <sz val="8"/>
            <rFont val="Tahoma"/>
            <family val="2"/>
          </rPr>
          <t xml:space="preserve">
Assured or almost certain - </t>
        </r>
        <r>
          <rPr>
            <sz val="8"/>
            <rFont val="Tahoma"/>
            <family val="2"/>
          </rPr>
          <t>Exposure of one or more individuals to elevated levels of contaminants from the site is virtually certain</t>
        </r>
        <r>
          <rPr>
            <b/>
            <sz val="8"/>
            <rFont val="Tahoma"/>
            <family val="2"/>
          </rPr>
          <t xml:space="preserve">
_________________________________________________________________
</t>
        </r>
        <r>
          <rPr>
            <sz val="8"/>
            <color indexed="10"/>
            <rFont val="Tahoma"/>
            <family val="2"/>
          </rPr>
          <t>*</t>
        </r>
        <r>
          <rPr>
            <sz val="8"/>
            <rFont val="Tahoma"/>
            <family val="2"/>
          </rPr>
          <t xml:space="preserve"> “Elevated levels” for this metric are defined as levels above background concentrations and </t>
        </r>
        <r>
          <rPr>
            <u val="single"/>
            <sz val="8"/>
            <rFont val="Tahoma"/>
            <family val="2"/>
          </rPr>
          <t>exposures.___________________________________________________________________</t>
        </r>
        <r>
          <rPr>
            <sz val="8"/>
            <rFont val="Tahoma"/>
            <family val="2"/>
          </rPr>
          <t xml:space="preserve">
</t>
        </r>
      </text>
    </comment>
    <comment ref="A5" authorId="0">
      <text>
        <r>
          <rPr>
            <b/>
            <sz val="8"/>
            <rFont val="Tahoma"/>
            <family val="2"/>
          </rPr>
          <t xml:space="preserve">Number of people potentially exposed
</t>
        </r>
        <r>
          <rPr>
            <sz val="8"/>
            <rFont val="Tahoma"/>
            <family val="2"/>
          </rPr>
          <t xml:space="preserve">To estimate the number of people that will potentially be exposed to contamination via the pathway being evaluated, consider the history and current status (location, concentrations) of the plume and the projected evolution of the plume, if the specific alternative being considered is implemented.  Also consider characteristics and habits of the local and worker populations now and in the future.  
</t>
        </r>
        <r>
          <rPr>
            <b/>
            <sz val="8"/>
            <rFont val="Tahoma"/>
            <family val="2"/>
          </rPr>
          <t xml:space="preserve">
Very small - </t>
        </r>
        <r>
          <rPr>
            <sz val="8"/>
            <rFont val="Tahoma"/>
            <family val="2"/>
          </rPr>
          <t xml:space="preserve">On the order of 1 or 2 people.  Exposed population might be very small, if for example, a few people who work on the site are incidentally exposed to the contamination 
</t>
        </r>
        <r>
          <rPr>
            <b/>
            <sz val="8"/>
            <rFont val="Tahoma"/>
            <family val="2"/>
          </rPr>
          <t xml:space="preserve">
Small - </t>
        </r>
        <r>
          <rPr>
            <sz val="8"/>
            <rFont val="Tahoma"/>
            <family val="2"/>
          </rPr>
          <t xml:space="preserve">About 10 people.  Exposed population might be small, if for example, one or two families near the site use water from domestic wells, which become contaminated by the groundwater plume.
</t>
        </r>
        <r>
          <rPr>
            <b/>
            <sz val="8"/>
            <rFont val="Tahoma"/>
            <family val="2"/>
          </rPr>
          <t xml:space="preserve">
Moderate - </t>
        </r>
        <r>
          <rPr>
            <sz val="8"/>
            <rFont val="Tahoma"/>
            <family val="2"/>
          </rPr>
          <t xml:space="preserve">Roughly 100 people.  
</t>
        </r>
        <r>
          <rPr>
            <b/>
            <sz val="8"/>
            <rFont val="Tahoma"/>
            <family val="2"/>
          </rPr>
          <t xml:space="preserve">
Large - </t>
        </r>
        <r>
          <rPr>
            <sz val="8"/>
            <rFont val="Tahoma"/>
            <family val="2"/>
          </rPr>
          <t xml:space="preserve">Roughly 1,000 people. 
</t>
        </r>
        <r>
          <rPr>
            <b/>
            <sz val="8"/>
            <rFont val="Tahoma"/>
            <family val="2"/>
          </rPr>
          <t xml:space="preserve">
Very large - </t>
        </r>
        <r>
          <rPr>
            <sz val="8"/>
            <rFont val="Tahoma"/>
            <family val="2"/>
          </rPr>
          <t>Roughly 10,000 or more people.  Exposed population might be very large, if for example, groundwater contamination from the site reaches a municipal water supply well.</t>
        </r>
        <r>
          <rPr>
            <b/>
            <sz val="8"/>
            <rFont val="Tahoma"/>
            <family val="2"/>
          </rPr>
          <t xml:space="preserve">
</t>
        </r>
      </text>
    </comment>
    <comment ref="A6" authorId="0">
      <text>
        <r>
          <rPr>
            <b/>
            <sz val="8"/>
            <rFont val="Tahoma"/>
            <family val="2"/>
          </rPr>
          <t xml:space="preserve">Timing of exposure
</t>
        </r>
        <r>
          <rPr>
            <sz val="8"/>
            <rFont val="Tahoma"/>
            <family val="2"/>
          </rPr>
          <t xml:space="preserve">For groundwater contamination on access-controlled property, the first potential exposures to any adverse health effects may occur far in the future.  To estimate the time at which any persons would be exposed to elevated levels of risk, consider the history and current status of the plume, and the proximity of the plume to populations.    </t>
        </r>
        <r>
          <rPr>
            <b/>
            <sz val="8"/>
            <rFont val="Tahoma"/>
            <family val="2"/>
          </rPr>
          <t xml:space="preserve">
</t>
        </r>
        <r>
          <rPr>
            <sz val="8"/>
            <rFont val="Tahoma"/>
            <family val="2"/>
          </rPr>
          <t xml:space="preserve">Exposures, if they occur, are expected in </t>
        </r>
        <r>
          <rPr>
            <b/>
            <sz val="8"/>
            <rFont val="Tahoma"/>
            <family val="2"/>
          </rPr>
          <t>less than 5 years</t>
        </r>
        <r>
          <rPr>
            <sz val="8"/>
            <rFont val="Tahoma"/>
            <family val="2"/>
          </rPr>
          <t xml:space="preserve">.
Exposures, if they occur, are expected in </t>
        </r>
        <r>
          <rPr>
            <b/>
            <sz val="8"/>
            <rFont val="Tahoma"/>
            <family val="2"/>
          </rPr>
          <t>5 to 10 years</t>
        </r>
        <r>
          <rPr>
            <sz val="8"/>
            <rFont val="Tahoma"/>
            <family val="2"/>
          </rPr>
          <t xml:space="preserve">. 
Exposures, if they occur, are expected in </t>
        </r>
        <r>
          <rPr>
            <b/>
            <sz val="8"/>
            <rFont val="Tahoma"/>
            <family val="2"/>
          </rPr>
          <t>10 to 20 years</t>
        </r>
        <r>
          <rPr>
            <sz val="8"/>
            <rFont val="Tahoma"/>
            <family val="2"/>
          </rPr>
          <t xml:space="preserve">.
Exposures, if they occur, are expected in </t>
        </r>
        <r>
          <rPr>
            <b/>
            <sz val="8"/>
            <rFont val="Tahoma"/>
            <family val="2"/>
          </rPr>
          <t>about 50 years</t>
        </r>
        <r>
          <rPr>
            <sz val="8"/>
            <rFont val="Tahoma"/>
            <family val="2"/>
          </rPr>
          <t xml:space="preserve">.
Exposures, if they occur, are expected in </t>
        </r>
        <r>
          <rPr>
            <b/>
            <sz val="8"/>
            <rFont val="Tahoma"/>
            <family val="2"/>
          </rPr>
          <t>about 100 years</t>
        </r>
        <r>
          <rPr>
            <sz val="8"/>
            <rFont val="Tahoma"/>
            <family val="2"/>
          </rPr>
          <t xml:space="preserve">.
Exposures, if they occur, are expected in </t>
        </r>
        <r>
          <rPr>
            <b/>
            <sz val="8"/>
            <rFont val="Tahoma"/>
            <family val="2"/>
          </rPr>
          <t>about 500 years</t>
        </r>
        <r>
          <rPr>
            <sz val="8"/>
            <rFont val="Tahoma"/>
            <family val="2"/>
          </rPr>
          <t>.</t>
        </r>
        <r>
          <rPr>
            <b/>
            <sz val="8"/>
            <rFont val="Tahoma"/>
            <family val="2"/>
          </rPr>
          <t xml:space="preserve">
</t>
        </r>
      </text>
    </comment>
    <comment ref="A7" authorId="0">
      <text>
        <r>
          <rPr>
            <b/>
            <sz val="8"/>
            <rFont val="Tahoma"/>
            <family val="2"/>
          </rPr>
          <t xml:space="preserve">Likelihood of health impact, assuming exposure occurs
</t>
        </r>
        <r>
          <rPr>
            <sz val="8"/>
            <rFont val="Tahoma"/>
            <family val="2"/>
          </rPr>
          <t xml:space="preserve">There is often uncertainty about whether any adverse health impact will occur even if individuals are exposed to VOCs.  The likelihood of an impact may depend on many factors, including some related to the characteristics of the contaminant plume and the exposure pathways and duration, and some related to the individuals who are exposed.  </t>
        </r>
        <r>
          <rPr>
            <b/>
            <sz val="8"/>
            <rFont val="Tahoma"/>
            <family val="2"/>
          </rPr>
          <t xml:space="preserve">
</t>
        </r>
        <r>
          <rPr>
            <sz val="8"/>
            <rFont val="Tahoma"/>
            <family val="2"/>
          </rPr>
          <t>In estimating the likelihood of an affect, first assume that the exposure occurs, and then consider what is known about the VOC concentrations and the exposure pathways, and where possible, what is known about the types of people who might be exposed.</t>
        </r>
        <r>
          <rPr>
            <b/>
            <sz val="8"/>
            <rFont val="Tahoma"/>
            <family val="2"/>
          </rPr>
          <t xml:space="preserve">
Extremely unlikely - </t>
        </r>
        <r>
          <rPr>
            <sz val="8"/>
            <rFont val="Tahoma"/>
            <family val="2"/>
          </rPr>
          <t xml:space="preserve">The chances of the health or safety effect are no more than 1 chance in 1,000,000.
</t>
        </r>
        <r>
          <rPr>
            <b/>
            <sz val="8"/>
            <rFont val="Tahoma"/>
            <family val="2"/>
          </rPr>
          <t xml:space="preserve">
Very unlikely - </t>
        </r>
        <r>
          <rPr>
            <sz val="8"/>
            <rFont val="Tahoma"/>
            <family val="2"/>
          </rPr>
          <t xml:space="preserve">The chances of the health or safety effect are on the order of 1 chance in 100,000.
</t>
        </r>
        <r>
          <rPr>
            <b/>
            <sz val="8"/>
            <rFont val="Tahoma"/>
            <family val="2"/>
          </rPr>
          <t xml:space="preserve">
Unlikely - </t>
        </r>
        <r>
          <rPr>
            <sz val="8"/>
            <rFont val="Tahoma"/>
            <family val="2"/>
          </rPr>
          <t xml:space="preserve">The chances of the health or safety effect are on the order of 1 chance in 10,000.
</t>
        </r>
        <r>
          <rPr>
            <b/>
            <sz val="8"/>
            <rFont val="Tahoma"/>
            <family val="2"/>
          </rPr>
          <t xml:space="preserve">
Somewhat unlikely - </t>
        </r>
        <r>
          <rPr>
            <sz val="8"/>
            <rFont val="Tahoma"/>
            <family val="2"/>
          </rPr>
          <t xml:space="preserve">The chances of the health or safety effect are on the order of 1 chance in 1,000.
</t>
        </r>
        <r>
          <rPr>
            <b/>
            <sz val="8"/>
            <rFont val="Tahoma"/>
            <family val="2"/>
          </rPr>
          <t xml:space="preserve">
Relatively likely - </t>
        </r>
        <r>
          <rPr>
            <sz val="8"/>
            <rFont val="Tahoma"/>
            <family val="2"/>
          </rPr>
          <t xml:space="preserve">The chances for the health or safety effect are on the order of 1 chance in 100.
</t>
        </r>
        <r>
          <rPr>
            <b/>
            <sz val="8"/>
            <rFont val="Tahoma"/>
            <family val="2"/>
          </rPr>
          <t xml:space="preserve">
Likely - </t>
        </r>
        <r>
          <rPr>
            <sz val="8"/>
            <rFont val="Tahoma"/>
            <family val="2"/>
          </rPr>
          <t xml:space="preserve">The chances of the health or safety effect resulting from the order of 1 chance in 10.
</t>
        </r>
        <r>
          <rPr>
            <b/>
            <sz val="8"/>
            <rFont val="Tahoma"/>
            <family val="2"/>
          </rPr>
          <t xml:space="preserve">
Assured or almost certain - </t>
        </r>
        <r>
          <rPr>
            <sz val="8"/>
            <rFont val="Tahoma"/>
            <family val="2"/>
          </rPr>
          <t>Health or safety effect is virtually certain.</t>
        </r>
        <r>
          <rPr>
            <b/>
            <sz val="8"/>
            <rFont val="Tahoma"/>
            <family val="2"/>
          </rPr>
          <t xml:space="preserve">
</t>
        </r>
      </text>
    </comment>
    <comment ref="A10" authorId="0">
      <text>
        <r>
          <rPr>
            <b/>
            <sz val="8"/>
            <rFont val="Tahoma"/>
            <family val="2"/>
          </rPr>
          <t xml:space="preserve">Likelihood of injury or illness
</t>
        </r>
        <r>
          <rPr>
            <sz val="8"/>
            <rFont val="Tahoma"/>
            <family val="2"/>
          </rPr>
          <t xml:space="preserve">For the most likely pathway by which worker safety or health could be affected, estimate the likelihood that any individual will suffer an injury or adverse health effect as a direct result of the planned remedial actions.  
</t>
        </r>
        <r>
          <rPr>
            <b/>
            <sz val="8"/>
            <rFont val="Tahoma"/>
            <family val="2"/>
          </rPr>
          <t xml:space="preserve">
Extremely unlikely.  </t>
        </r>
        <r>
          <rPr>
            <sz val="8"/>
            <rFont val="Tahoma"/>
            <family val="2"/>
          </rPr>
          <t>The chances that workers will be injured or suffer occupational illness as a direct result of the planned activities are no more than 1 chance in 1,000,000.</t>
        </r>
        <r>
          <rPr>
            <b/>
            <sz val="8"/>
            <rFont val="Tahoma"/>
            <family val="2"/>
          </rPr>
          <t xml:space="preserve">
Very unlikely.  </t>
        </r>
        <r>
          <rPr>
            <sz val="8"/>
            <rFont val="Tahoma"/>
            <family val="2"/>
          </rPr>
          <t>The chances that workers will be injured or suffer occupational illness as a direct result of the planned activities are on the order of 1 chance in 100,000.</t>
        </r>
        <r>
          <rPr>
            <b/>
            <sz val="8"/>
            <rFont val="Tahoma"/>
            <family val="2"/>
          </rPr>
          <t xml:space="preserve">
Unlikely.</t>
        </r>
        <r>
          <rPr>
            <sz val="8"/>
            <rFont val="Tahoma"/>
            <family val="2"/>
          </rPr>
          <t xml:space="preserve">  The chances that workers will be injured or suffer occupational illness as a direct result of the planned activities are on the order of 1 chance in 10,000.</t>
        </r>
        <r>
          <rPr>
            <b/>
            <sz val="8"/>
            <rFont val="Tahoma"/>
            <family val="2"/>
          </rPr>
          <t xml:space="preserve">
Somewhat unlikely.  </t>
        </r>
        <r>
          <rPr>
            <sz val="8"/>
            <rFont val="Tahoma"/>
            <family val="2"/>
          </rPr>
          <t>The chances that workers will be injured or suffer occupational illness as a direct result of the planned activities are on the order of 1 chance in 1,000.</t>
        </r>
        <r>
          <rPr>
            <b/>
            <sz val="8"/>
            <rFont val="Tahoma"/>
            <family val="2"/>
          </rPr>
          <t xml:space="preserve">
Relatively likely.</t>
        </r>
        <r>
          <rPr>
            <sz val="8"/>
            <rFont val="Tahoma"/>
            <family val="2"/>
          </rPr>
          <t xml:space="preserve">  The chances that workers will be injured or suffer occupational illness as a direct result of the planned activities are on the order of 1 chance in 100.</t>
        </r>
        <r>
          <rPr>
            <b/>
            <sz val="8"/>
            <rFont val="Tahoma"/>
            <family val="2"/>
          </rPr>
          <t xml:space="preserve">
Likely.  </t>
        </r>
        <r>
          <rPr>
            <sz val="8"/>
            <rFont val="Tahoma"/>
            <family val="2"/>
          </rPr>
          <t>The chances that workers will be injured or suffer occupational illness as a direct result of the planned activities are on the order of 1 chance in 10.</t>
        </r>
        <r>
          <rPr>
            <b/>
            <sz val="8"/>
            <rFont val="Tahoma"/>
            <family val="2"/>
          </rPr>
          <t xml:space="preserve">
Assured or almost certain.</t>
        </r>
        <r>
          <rPr>
            <sz val="8"/>
            <rFont val="Tahoma"/>
            <family val="2"/>
          </rPr>
          <t xml:space="preserve">  Worker injury or illness as a result of the planned activities is virtually certain.</t>
        </r>
      </text>
    </comment>
    <comment ref="A11" authorId="0">
      <text>
        <r>
          <rPr>
            <b/>
            <sz val="8"/>
            <rFont val="Tahoma"/>
            <family val="2"/>
          </rPr>
          <t xml:space="preserve">Population of workers exposed
</t>
        </r>
        <r>
          <rPr>
            <sz val="8"/>
            <rFont val="Tahoma"/>
            <family val="2"/>
          </rPr>
          <t xml:space="preserve">Assume the planned activities take place.  Considering the most likely pathway by which workers may be exposed to risk of injury or illness, estimate the number of workers who will face that risk.  For example, if the primary risks are construction related, estimate the number of people involved in the construction project; if the primary risks are related to long-term monitoring activities, estimate the number of people involved in field monitoring activities.
</t>
        </r>
        <r>
          <rPr>
            <b/>
            <sz val="8"/>
            <rFont val="Tahoma"/>
            <family val="2"/>
          </rPr>
          <t xml:space="preserve">
Very small - </t>
        </r>
        <r>
          <rPr>
            <sz val="8"/>
            <rFont val="Tahoma"/>
            <family val="2"/>
          </rPr>
          <t xml:space="preserve">On the order of 1 or 2 people.  The most likely pathway for worker injury or illness is such that only one or two individuals are exposed to the risk of injury. 
</t>
        </r>
        <r>
          <rPr>
            <b/>
            <sz val="8"/>
            <rFont val="Tahoma"/>
            <family val="2"/>
          </rPr>
          <t xml:space="preserve">
Small - </t>
        </r>
        <r>
          <rPr>
            <sz val="8"/>
            <rFont val="Tahoma"/>
            <family val="2"/>
          </rPr>
          <t xml:space="preserve">About 3 to 10 people.  The most likely pathway for worker injury or illness is one wherein several workers could be affected simultaneously by the same events
</t>
        </r>
        <r>
          <rPr>
            <b/>
            <sz val="8"/>
            <rFont val="Tahoma"/>
            <family val="2"/>
          </rPr>
          <t xml:space="preserve">
Moderate - </t>
        </r>
        <r>
          <rPr>
            <sz val="8"/>
            <rFont val="Tahoma"/>
            <family val="2"/>
          </rPr>
          <t>Roughly 100 people.  The most likely pathway for worker injury is one in which a moderate size workforce is exposed to a chance of injury or illness.</t>
        </r>
      </text>
    </comment>
    <comment ref="A12" authorId="0">
      <text>
        <r>
          <rPr>
            <b/>
            <sz val="8"/>
            <rFont val="Tahoma"/>
            <family val="2"/>
          </rPr>
          <t>Severity of effect, assuming it occurs</t>
        </r>
        <r>
          <rPr>
            <sz val="8"/>
            <rFont val="Tahoma"/>
            <family val="2"/>
          </rPr>
          <t xml:space="preserve">
Assuming that the identified worker risk does occur, use the scale below to record your estimate of the severity of the most likely effect on the exposed worker(s).
</t>
        </r>
        <r>
          <rPr>
            <b/>
            <sz val="8"/>
            <rFont val="Tahoma"/>
            <family val="2"/>
          </rPr>
          <t>No effect.</t>
        </r>
        <r>
          <rPr>
            <sz val="8"/>
            <rFont val="Tahoma"/>
            <family val="2"/>
          </rPr>
          <t xml:space="preserve"> 
</t>
        </r>
        <r>
          <rPr>
            <b/>
            <sz val="8"/>
            <rFont val="Tahoma"/>
            <family val="2"/>
          </rPr>
          <t>Temporary, minor effect.</t>
        </r>
        <r>
          <rPr>
            <sz val="8"/>
            <rFont val="Tahoma"/>
            <family val="2"/>
          </rPr>
          <t xml:space="preserve">  If a worker experiences an injury or illness, the most likely effect is expected to be temporary and minor (e.g., cuts, bruises, etc).  First aid may be required.
</t>
        </r>
        <r>
          <rPr>
            <b/>
            <sz val="8"/>
            <rFont val="Tahoma"/>
            <family val="2"/>
          </rPr>
          <t xml:space="preserve">Moderate effect. </t>
        </r>
        <r>
          <rPr>
            <sz val="8"/>
            <rFont val="Tahoma"/>
            <family val="2"/>
          </rPr>
          <t xml:space="preserve">  If a worker experiences an injury or illness, the most likely effect is expected to be moderate.  Medical attention (e.g., emergency room or doctor’s office visit) is likely to be required, but the effect is not but not likely to be long-term (effects last less than a year) or life-threatening (e.g., broken bones, moderate burns, etc.)
</t>
        </r>
        <r>
          <rPr>
            <b/>
            <sz val="8"/>
            <rFont val="Tahoma"/>
            <family val="2"/>
          </rPr>
          <t>Serious effect.</t>
        </r>
        <r>
          <rPr>
            <sz val="8"/>
            <rFont val="Tahoma"/>
            <family val="2"/>
          </rPr>
          <t xml:space="preserve">  If a worker experiences an injury or illness, the effect is likely to be a permanent debilitating injury or serious long-term illness, producing permanent loss of quality of life.  
</t>
        </r>
      </text>
    </comment>
    <comment ref="A14" authorId="0">
      <text>
        <r>
          <rPr>
            <b/>
            <sz val="8"/>
            <rFont val="Tahoma"/>
            <family val="2"/>
          </rPr>
          <t xml:space="preserve">Likelihood of adverse impact on environmental resources
</t>
        </r>
        <r>
          <rPr>
            <sz val="8"/>
            <rFont val="Tahoma"/>
            <family val="2"/>
          </rPr>
          <t xml:space="preserve">For the resource(s) potentially impacted, estimate the likelihood the resource will be affected by the contaminant plume.  Consider both the likelihood the resource will be exposed to contaminants, and the likelihood the exposure will result in adverse impacts on those resources.  
</t>
        </r>
        <r>
          <rPr>
            <b/>
            <sz val="8"/>
            <rFont val="Tahoma"/>
            <family val="2"/>
          </rPr>
          <t xml:space="preserve">
Less than 10% chance
About 10%
About 25%
About 50%
About 75%
About 90%
Greater than 90%
</t>
        </r>
      </text>
    </comment>
    <comment ref="A15" authorId="0">
      <text>
        <r>
          <rPr>
            <b/>
            <sz val="8"/>
            <rFont val="Tahoma"/>
            <family val="2"/>
          </rPr>
          <t>Severity of environmental impacts</t>
        </r>
        <r>
          <rPr>
            <sz val="8"/>
            <rFont val="Tahoma"/>
            <family val="2"/>
          </rPr>
          <t xml:space="preserve">
Use the scale below to estimate the magnitude of the adverse impact on the environmental resources identified above.  This metric includes both the level of damage and the duration of the effect.  Consider the type and concentration of the contaminants from the site, and the pathways by which environmental resources will be exposed.
</t>
        </r>
        <r>
          <rPr>
            <b/>
            <sz val="8"/>
            <rFont val="Tahoma"/>
            <family val="2"/>
          </rPr>
          <t xml:space="preserve">
No impact - 
Low or minor impact - </t>
        </r>
        <r>
          <rPr>
            <sz val="8"/>
            <rFont val="Tahoma"/>
            <family val="2"/>
          </rPr>
          <t>The characteristics of the hazard (e.g., the contaminants and the exposure pathways) and/or the sensitivity of the resources exposed to the hazard are such that no significant damage or injury to those resources is expected to occur.  At worst, exposures would produce a minor, temporary impact that would be likely to self-correct within about a year.</t>
        </r>
        <r>
          <rPr>
            <b/>
            <sz val="8"/>
            <rFont val="Tahoma"/>
            <family val="2"/>
          </rPr>
          <t xml:space="preserve">
Moderate impact - </t>
        </r>
        <r>
          <rPr>
            <sz val="8"/>
            <rFont val="Tahoma"/>
            <family val="2"/>
          </rPr>
          <t xml:space="preserve">The characteristics of the hazard and the sensitivity of the resources exposed are such that those resources are likely to suffer damage or injury.  Such injury is expected to affect a small portion of the resources affected (e.g., it may affect the local abundance or health of sensitive species).  The impact is expected to be temporary and would likely self-correct within about 10 years.
</t>
        </r>
        <r>
          <rPr>
            <b/>
            <sz val="8"/>
            <rFont val="Tahoma"/>
            <family val="2"/>
          </rPr>
          <t xml:space="preserve">Significant impact - </t>
        </r>
        <r>
          <rPr>
            <sz val="8"/>
            <rFont val="Tahoma"/>
            <family val="2"/>
          </rPr>
          <t xml:space="preserve">The characteristics of the hazard and the sensitivity of the resources exposed are such that those resources are likely to suffer significant and long-lasting damage or injury.  Such injury is expected to affect a moderate to large portion of the resource, and the damage is expected to last beyond 10 years from its onset.
</t>
        </r>
        <r>
          <rPr>
            <b/>
            <sz val="8"/>
            <rFont val="Tahoma"/>
            <family val="2"/>
          </rPr>
          <t xml:space="preserve">
Severe impact - </t>
        </r>
        <r>
          <rPr>
            <sz val="8"/>
            <rFont val="Tahoma"/>
            <family val="2"/>
          </rPr>
          <t>The characteristics of the hazard and the sensitivity of the resources are such that the adverse impact is likely to be widespread and severe; permanent damage is expected to result.</t>
        </r>
        <r>
          <rPr>
            <b/>
            <sz val="8"/>
            <rFont val="Tahoma"/>
            <family val="2"/>
          </rPr>
          <t xml:space="preserve">
Very severe impact - </t>
        </r>
        <r>
          <rPr>
            <sz val="8"/>
            <rFont val="Tahoma"/>
            <family val="2"/>
          </rPr>
          <t>The level of impact on the identified environmental resources is likely to be extreme.  Impact will be irreversible and result in the permanent loss of one or more environmental resources.  This level of impact is commensurate with what qualifies as a “natural resource emergency” under the Natural Resource Damage Assessment Act (43CFR11).</t>
        </r>
        <r>
          <rPr>
            <b/>
            <sz val="8"/>
            <rFont val="Tahoma"/>
            <family val="2"/>
          </rPr>
          <t xml:space="preserve">
</t>
        </r>
      </text>
    </comment>
    <comment ref="A17" authorId="0">
      <text>
        <r>
          <rPr>
            <b/>
            <sz val="8"/>
            <rFont val="Tahoma"/>
            <family val="2"/>
          </rPr>
          <t xml:space="preserve">Regulatory Responsiveness
</t>
        </r>
        <r>
          <rPr>
            <sz val="8"/>
            <rFont val="Tahoma"/>
            <family val="2"/>
          </rPr>
          <t xml:space="preserve">It is assumed that any alternative being considered has been judged by site managers to comply with all applicable regulatory requirements.  Although all alternatives are compliant, there may be a difference in how each alternative is perceived by the regulators, and how responsive to regulatory concerns they believe the alternative to be.
The scale below is designed to allow the user to estimate the degree to which an alternative will be seen as responsive to regulatory concerns. 
To evaluate regulatory responsiveness, assume that the alternative being considered is selected as the remedy for the site.  Make your best estimate of the response of the regulators.  </t>
        </r>
        <r>
          <rPr>
            <b/>
            <sz val="8"/>
            <rFont val="Tahoma"/>
            <family val="2"/>
          </rPr>
          <t xml:space="preserve">
Highly responsive - </t>
        </r>
        <r>
          <rPr>
            <sz val="8"/>
            <rFont val="Tahoma"/>
            <family val="2"/>
          </rPr>
          <t xml:space="preserve">The alternative being considered is viewed as highly responsive to all regulatory concerns.  If selected, the alternative will almost certainly be positively reviewed and readily accepted by the regulators.  Examples of alternatives that might be judged to be highly responsive include: alternatives with a long and proven track record for similar problems; alternatives identical or nearly identical to those approved for other areas by the same regulatory agency.
</t>
        </r>
        <r>
          <rPr>
            <b/>
            <sz val="8"/>
            <rFont val="Tahoma"/>
            <family val="2"/>
          </rPr>
          <t xml:space="preserve">
Responsive - </t>
        </r>
        <r>
          <rPr>
            <sz val="8"/>
            <rFont val="Tahoma"/>
            <family val="2"/>
          </rPr>
          <t xml:space="preserve">The alternative being considered is responsive to all regulatory concerns.  If selected, the alternative will likely be accepted by the regulators with little or no discussion or modification.   
</t>
        </r>
        <r>
          <rPr>
            <b/>
            <sz val="8"/>
            <rFont val="Tahoma"/>
            <family val="2"/>
          </rPr>
          <t xml:space="preserve">
Somewhat responsive - </t>
        </r>
        <r>
          <rPr>
            <sz val="8"/>
            <rFont val="Tahoma"/>
            <family val="2"/>
          </rPr>
          <t xml:space="preserve">The alternative being considered is somewhat controversial.  Although compliant with applicable regulations, the regulators may view the alternative as potentially less than satisfactory.  If the alternative is selected, site managers expect a fairly lengthy and detailed negotiation process before the approach is approved.  Examples of alternatives that might be judged to be only somewhat responsive include: alternatives that are unproven in the current context.
</t>
        </r>
        <r>
          <rPr>
            <b/>
            <sz val="8"/>
            <rFont val="Tahoma"/>
            <family val="2"/>
          </rPr>
          <t xml:space="preserve">
Marginally responsive - </t>
        </r>
        <r>
          <rPr>
            <sz val="8"/>
            <rFont val="Tahoma"/>
            <family val="2"/>
          </rPr>
          <t>Although compliant with applicable regulations, the alternative being considered is viewed unfavorably by the regulators.  If the alternative is selected, site managers expect regulatory challenge and a difficult and potentially contentious negotiation with the regulatory agency.  Ultimate approval is likely but not certain.  An alternative might be considered marginally responsive if: it represents or is substantially similar to an option previously rejected by the agency for a similar problem.</t>
        </r>
        <r>
          <rPr>
            <b/>
            <sz val="8"/>
            <rFont val="Tahoma"/>
            <family val="2"/>
          </rPr>
          <t xml:space="preserve">
</t>
        </r>
      </text>
    </comment>
    <comment ref="A19" authorId="0">
      <text>
        <r>
          <rPr>
            <b/>
            <sz val="8"/>
            <rFont val="Tahoma"/>
            <family val="2"/>
          </rPr>
          <t xml:space="preserve">Time to completion
</t>
        </r>
        <r>
          <rPr>
            <sz val="8"/>
            <rFont val="Tahoma"/>
            <family val="2"/>
          </rPr>
          <t>Time to completion is defined as the time at which further action aimed specifically at the site or problem being addressed will no longer be required.  This includes any ongoing monitoring.  The time to completion is often identified as the time at which contaminant concentrations in the groundwater are below regulatory maximum contaminant limits.
If you have modeling results available that can provide an estimate of the number of years to completion, please provide that estimate, along with the uncertainty around that estimate.  Otherwise, please use the scale below to provide your best estimate of the time to completion, assuming the alternative under consideration is implemented.</t>
        </r>
        <r>
          <rPr>
            <b/>
            <sz val="8"/>
            <rFont val="Tahoma"/>
            <family val="2"/>
          </rPr>
          <t xml:space="preserve">
Less than 5 years - 
Five to 10 years - 
10 to 20 years - 
About 50 years - 
About 100 years - 
About 500 years - 
USER SPECIFIED - </t>
        </r>
        <r>
          <rPr>
            <sz val="8"/>
            <rFont val="Tahoma"/>
            <family val="2"/>
          </rPr>
          <t>Enter a specified time (years).</t>
        </r>
      </text>
    </comment>
    <comment ref="A23" authorId="0">
      <text>
        <r>
          <rPr>
            <b/>
            <sz val="8"/>
            <rFont val="Tahoma"/>
            <family val="2"/>
          </rPr>
          <t xml:space="preserve">Cost uncertainty
</t>
        </r>
        <r>
          <rPr>
            <sz val="8"/>
            <rFont val="Tahoma"/>
            <family val="2"/>
          </rPr>
          <t xml:space="preserve">Typically, the estimated costs to reach closure for any chosenl alternative are uncertain, and estimates for the total costs of less well established options or innovative solutions have greater uncertainty.  Please use the scales to the right to indicate the level of uncertainty in the estimated total cost for the alternative being evaluated.
For the "lowest cost," estimate how much lower the total cost to reach closure under the alternative being evaluated might be.  The "lowest cost" estimate should be such that you believe there is only about a </t>
        </r>
        <r>
          <rPr>
            <b/>
            <sz val="8"/>
            <rFont val="Tahoma"/>
            <family val="2"/>
          </rPr>
          <t xml:space="preserve">10% chance </t>
        </r>
        <r>
          <rPr>
            <sz val="8"/>
            <rFont val="Tahoma"/>
            <family val="2"/>
          </rPr>
          <t xml:space="preserve">the final total cost will be </t>
        </r>
        <r>
          <rPr>
            <b/>
            <sz val="8"/>
            <rFont val="Tahoma"/>
            <family val="2"/>
          </rPr>
          <t>less than the lowest cost estimate</t>
        </r>
        <r>
          <rPr>
            <sz val="8"/>
            <rFont val="Tahoma"/>
            <family val="2"/>
          </rPr>
          <t xml:space="preserve">.
For the "highest cost," estimate how much higher the total costs to reach closure might be, assuming the alternative is implemented.  Consider ways in which the alternative could fail to meet it's technical goals and what actiions would then have to be taken to achieve closure.  The "highest cost" estimate should be such that the you beleive there is only about a </t>
        </r>
        <r>
          <rPr>
            <b/>
            <sz val="8"/>
            <rFont val="Tahoma"/>
            <family val="2"/>
          </rPr>
          <t>10% chance</t>
        </r>
        <r>
          <rPr>
            <sz val="8"/>
            <rFont val="Tahoma"/>
            <family val="2"/>
          </rPr>
          <t xml:space="preserve"> the final total cos will be </t>
        </r>
        <r>
          <rPr>
            <b/>
            <sz val="8"/>
            <rFont val="Tahoma"/>
            <family val="2"/>
          </rPr>
          <t>more than the high estimate</t>
        </r>
        <r>
          <rPr>
            <sz val="8"/>
            <rFont val="Tahoma"/>
            <family val="2"/>
          </rPr>
          <t>.</t>
        </r>
      </text>
    </comment>
    <comment ref="A21" authorId="0">
      <text>
        <r>
          <rPr>
            <b/>
            <sz val="8"/>
            <rFont val="Tahoma"/>
            <family val="2"/>
          </rPr>
          <t xml:space="preserve">Total estimated costs
</t>
        </r>
        <r>
          <rPr>
            <sz val="8"/>
            <rFont val="Tahoma"/>
            <family val="2"/>
          </rPr>
          <t xml:space="preserve">Please provide an estimate of the total costs for the alternative being considered.  Assume the alternative is implemented and continues through the end of the “time to completion” as estimated above.
Total costs should include any capital costs, operations and maintenance costs, and the costs associated with any ongoing monitoring associated with the alternative and the site.  Please document the discount rate used in the cost estimates.
</t>
        </r>
      </text>
    </comment>
    <comment ref="A22" authorId="0">
      <text>
        <r>
          <rPr>
            <b/>
            <sz val="8"/>
            <rFont val="Tahoma"/>
            <family val="2"/>
          </rPr>
          <t xml:space="preserve">Discount Rate
</t>
        </r>
        <r>
          <rPr>
            <sz val="8"/>
            <rFont val="Tahoma"/>
            <family val="2"/>
          </rPr>
          <t>Please indicate the discount rate used in the estimate of the total lifetime costs for the alternative (Enter percent discount as 0.# #)</t>
        </r>
      </text>
    </comment>
    <comment ref="A13" authorId="0">
      <text>
        <r>
          <rPr>
            <b/>
            <sz val="8"/>
            <rFont val="Tahoma"/>
            <family val="2"/>
          </rPr>
          <t xml:space="preserve">Impacts on the environment
</t>
        </r>
        <r>
          <rPr>
            <sz val="8"/>
            <rFont val="Tahoma"/>
            <family val="2"/>
          </rPr>
          <t xml:space="preserve">The impact on the natural environment from contamination problems at the site is a function of:
        • the type of environmental resources potentially affected;
        • the likelihood of an impact on those resources;
        • the severity and duration of the impact.
To evaluate the impact on the environment from the specific site and/or problem, first consider the various environmental resources that might be affected by the contaminant plume and indicate all resource types that could be affected using the checklist below.  Then, for each alternative being considered, estimate the likelihood those resources will be impacted and the severity of the impact, if it occurs.  If the likelihood and severity of impact differs for the various resources identified, they can and should be scored separately.
</t>
        </r>
        <r>
          <rPr>
            <b/>
            <sz val="8"/>
            <rFont val="Tahoma"/>
            <family val="2"/>
          </rPr>
          <t xml:space="preserve">
Type and sensitivity of resources potentially affected
</t>
        </r>
        <r>
          <rPr>
            <sz val="8"/>
            <rFont val="Tahoma"/>
            <family val="2"/>
          </rPr>
          <t xml:space="preserve">Consider the history, current status, and projected future movements of the plume.  Specify below of the types and sensitivity of environmental resources potentially impacted by the contaminant plume.  Identify all resource types that could be affected.
</t>
        </r>
      </text>
    </comment>
    <comment ref="A3" authorId="0">
      <text>
        <r>
          <rPr>
            <b/>
            <sz val="8"/>
            <rFont val="Tahoma"/>
            <family val="2"/>
          </rPr>
          <t xml:space="preserve">
Impacts on public health and safety
</t>
        </r>
        <r>
          <rPr>
            <sz val="8"/>
            <rFont val="Tahoma"/>
            <family val="2"/>
          </rPr>
          <t xml:space="preserve">For each exposure pathway, please estimate the risk to public health and safety using the metrics provided.  The impact on public health and safety from contamination problems at the site is a function of:
        • The likelihood that anyone will be exposed to contaminants via the exposure pathway being 
        evaluated,
        • The number of people potentially exposed via that pathway,
        • The risks they face if they are exposed.  This in turn is a function of:
        o The likelihood there will be an adverse health effect as a result of the exposure, and
        o The severity of the effect if it occurs.
Also potentially relevant is the time of the exposure and health impact.
</t>
        </r>
      </text>
    </comment>
    <comment ref="C19" authorId="0">
      <text>
        <r>
          <rPr>
            <b/>
            <sz val="10"/>
            <rFont val="Tahoma"/>
            <family val="2"/>
          </rPr>
          <t xml:space="preserve">Select </t>
        </r>
        <r>
          <rPr>
            <sz val="10"/>
            <rFont val="Tahoma"/>
            <family val="2"/>
          </rPr>
          <t xml:space="preserve">a time from dropdown box, </t>
        </r>
        <r>
          <rPr>
            <b/>
            <sz val="10"/>
            <rFont val="Tahoma"/>
            <family val="2"/>
          </rPr>
          <t>OR</t>
        </r>
        <r>
          <rPr>
            <sz val="10"/>
            <rFont val="Tahoma"/>
            <family val="2"/>
          </rPr>
          <t xml:space="preserve">
</t>
        </r>
        <r>
          <rPr>
            <b/>
            <sz val="10"/>
            <rFont val="Tahoma"/>
            <family val="2"/>
          </rPr>
          <t xml:space="preserve">Select </t>
        </r>
        <r>
          <rPr>
            <sz val="10"/>
            <rFont val="Tahoma"/>
            <family val="2"/>
          </rPr>
          <t xml:space="preserve">"USER SPECIFIED" from dropdown box, </t>
        </r>
        <r>
          <rPr>
            <b/>
            <sz val="10"/>
            <rFont val="Tahoma"/>
            <family val="2"/>
          </rPr>
          <t xml:space="preserve">AND </t>
        </r>
        <r>
          <rPr>
            <sz val="10"/>
            <rFont val="Tahoma"/>
            <family val="2"/>
          </rPr>
          <t xml:space="preserve">
</t>
        </r>
        <r>
          <rPr>
            <b/>
            <sz val="10"/>
            <rFont val="Tahoma"/>
            <family val="2"/>
          </rPr>
          <t xml:space="preserve">Enter </t>
        </r>
        <r>
          <rPr>
            <sz val="10"/>
            <rFont val="Tahoma"/>
            <family val="2"/>
          </rPr>
          <t>a specified time (years).</t>
        </r>
      </text>
    </comment>
    <comment ref="A8" authorId="0">
      <text>
        <r>
          <rPr>
            <b/>
            <sz val="8"/>
            <rFont val="Tahoma"/>
            <family val="2"/>
          </rPr>
          <t xml:space="preserve">Severity of effect, assuming it occurs
</t>
        </r>
        <r>
          <rPr>
            <sz val="8"/>
            <rFont val="Tahoma"/>
            <family val="2"/>
          </rPr>
          <t>The final measure of the degree of health and safety risk is an assessment of the type and severity of the effect, assuming it occurs.  
The types of health effects potentially associated with environmental exposures to chlorinated solvents range from temporary minor irritations (skin and lung irritations, headaches), to longer-term damage to the central nervous system (CNS), liver or kidneys.  Some chlorinated solvents are classified by the EPA as possible or probable carcinogens.
In estimating the severity of the effect, first assume that the exposure occurs and that the exposure leads to adverse health impacts.  Consider the concentrations, exposure pathways and duration, and where possible, what is known about the types of people who might be exposed.</t>
        </r>
        <r>
          <rPr>
            <b/>
            <sz val="8"/>
            <rFont val="Tahoma"/>
            <family val="2"/>
          </rPr>
          <t xml:space="preserve">
No effect - 
Temporary, minor effect - </t>
        </r>
        <r>
          <rPr>
            <sz val="8"/>
            <rFont val="Tahoma"/>
            <family val="2"/>
          </rPr>
          <t xml:space="preserve"> Exposures are unlikely to produce more than temporary irritation and discomfort (e.g., skin irritations, headaches).  
</t>
        </r>
        <r>
          <rPr>
            <b/>
            <sz val="8"/>
            <rFont val="Tahoma"/>
            <family val="2"/>
          </rPr>
          <t xml:space="preserve">
Moderate effect - </t>
        </r>
        <r>
          <rPr>
            <sz val="8"/>
            <rFont val="Tahoma"/>
            <family val="2"/>
          </rPr>
          <t xml:space="preserve">Exposures may produce moderate injury or illness, damage to the CNS, the liver, or the kidneys, with moderate-to-long-term effects possible.  
</t>
        </r>
        <r>
          <rPr>
            <b/>
            <sz val="8"/>
            <rFont val="Tahoma"/>
            <family val="2"/>
          </rPr>
          <t xml:space="preserve">
Serious effect - </t>
        </r>
        <r>
          <rPr>
            <sz val="8"/>
            <rFont val="Tahoma"/>
            <family val="2"/>
          </rPr>
          <t xml:space="preserve">Exposures may produce serious long-term illnesses (effects last 5 years or more) that result in significant loss of quality of life.  </t>
        </r>
        <r>
          <rPr>
            <b/>
            <sz val="8"/>
            <rFont val="Tahoma"/>
            <family val="2"/>
          </rPr>
          <t xml:space="preserve">
</t>
        </r>
      </text>
    </comment>
  </commentList>
</comments>
</file>

<file path=xl/comments7.xml><?xml version="1.0" encoding="utf-8"?>
<comments xmlns="http://schemas.openxmlformats.org/spreadsheetml/2006/main">
  <authors>
    <author>kstelman</author>
  </authors>
  <commentList>
    <comment ref="A49" authorId="0">
      <text>
        <r>
          <rPr>
            <b/>
            <sz val="10"/>
            <rFont val="Tahoma"/>
            <family val="0"/>
          </rPr>
          <t xml:space="preserve">V(HS) = </t>
        </r>
        <r>
          <rPr>
            <sz val="10"/>
            <rFont val="Tahoma"/>
            <family val="2"/>
          </rPr>
          <t xml:space="preserve">(Probability (exposure) * Probability (impact|exposure) * Severity * Number) * (1/(1+health_dr)^Time))
</t>
        </r>
        <r>
          <rPr>
            <b/>
            <sz val="10"/>
            <rFont val="Tahoma"/>
            <family val="2"/>
          </rPr>
          <t xml:space="preserve">V(WHS) </t>
        </r>
        <r>
          <rPr>
            <sz val="10"/>
            <rFont val="Tahoma"/>
            <family val="2"/>
          </rPr>
          <t xml:space="preserve">= (Probability (effect) * Severity * Number) 
</t>
        </r>
        <r>
          <rPr>
            <b/>
            <sz val="10"/>
            <rFont val="Tahoma"/>
            <family val="2"/>
          </rPr>
          <t xml:space="preserve">V(Env) </t>
        </r>
        <r>
          <rPr>
            <sz val="10"/>
            <rFont val="Tahoma"/>
            <family val="2"/>
          </rPr>
          <t>= Probability (env_impact) * ESeverity * sum(resource scores)</t>
        </r>
      </text>
    </comment>
  </commentList>
</comments>
</file>

<file path=xl/comments8.xml><?xml version="1.0" encoding="utf-8"?>
<comments xmlns="http://schemas.openxmlformats.org/spreadsheetml/2006/main">
  <authors>
    <author>kstelman</author>
  </authors>
  <commentList>
    <comment ref="B13" authorId="0">
      <text>
        <r>
          <rPr>
            <sz val="12"/>
            <rFont val="Tahoma"/>
            <family val="2"/>
          </rPr>
          <t>The value of reducing risks to public health and safety is in part a function of when those health risks would be realized.  Specifically, health risks resulting from exposures that may occur far in the future (e.g., in 30 years) may be considered less urgent than identical risks resulting from exposures that may occur in the near future (e.g., next year).  This difference results in a different "value" associated with eliminating risks associated with exposures at different times in the future, and is addressed by discounting the risk-reduction value based on the estimated time at which exposure would occur.
The default value is a 3% annual discount rate (see user's guide for discussion).  If you believe a different discounting rate should be used, you may specify that here.  Other values typically considered are (a) 0, indicating that one's willingness-to-pay today to reduce public health risks is completely independent of when those risks may be realized, and (b) the same discount rate used for discounting the total cost estimate, indicating that the tradeoff between dollars and health risk reduction should be constant over time.</t>
        </r>
      </text>
    </comment>
  </commentList>
</comments>
</file>

<file path=xl/sharedStrings.xml><?xml version="1.0" encoding="utf-8"?>
<sst xmlns="http://schemas.openxmlformats.org/spreadsheetml/2006/main" count="1627" uniqueCount="370">
  <si>
    <t>Cost</t>
  </si>
  <si>
    <t>Very unlikely (e.g., 1 in 100,000)</t>
  </si>
  <si>
    <t>Unlikely (e.g., 1 in 10,000)</t>
  </si>
  <si>
    <t>Likely (e.g., 1 in 10)</t>
  </si>
  <si>
    <t>Relatively likely (e.g., 1 in 100)</t>
  </si>
  <si>
    <t>Assured or almost certain</t>
  </si>
  <si>
    <t>Very small: 1-2 people</t>
  </si>
  <si>
    <t>Small: less than 10 people</t>
  </si>
  <si>
    <t>Moderate: roughly 100 people</t>
  </si>
  <si>
    <t>No effect</t>
  </si>
  <si>
    <r>
      <t>Alternative to evaluate</t>
    </r>
  </si>
  <si>
    <t>Wetlands</t>
  </si>
  <si>
    <t>No impact</t>
  </si>
  <si>
    <t>Regulatory responsiveness</t>
  </si>
  <si>
    <t>Likelihood</t>
  </si>
  <si>
    <t>Severity</t>
  </si>
  <si>
    <t>RR</t>
  </si>
  <si>
    <t>Time</t>
  </si>
  <si>
    <t>Site or problem information</t>
  </si>
  <si>
    <t>Current status (treatment in place)</t>
  </si>
  <si>
    <t>Name</t>
  </si>
  <si>
    <t>Location</t>
  </si>
  <si>
    <t>Ingestion</t>
  </si>
  <si>
    <t>Dermal contact</t>
  </si>
  <si>
    <t>Inhalation</t>
  </si>
  <si>
    <t>Other</t>
  </si>
  <si>
    <t xml:space="preserve">Check all that apply:  </t>
  </si>
  <si>
    <t>Likelihood of exposure to elevated levels of contaminants</t>
  </si>
  <si>
    <t>Number of people potentially exposed</t>
  </si>
  <si>
    <t>When exposures would be expected to occur</t>
  </si>
  <si>
    <t>Likelihood of a health impact, assuming exposure occurs</t>
  </si>
  <si>
    <t>Moderate effect</t>
  </si>
  <si>
    <t>Serious effect</t>
  </si>
  <si>
    <t>Name of alternative</t>
  </si>
  <si>
    <t>Brief description</t>
  </si>
  <si>
    <t>Number of alternatives defined</t>
  </si>
  <si>
    <t>Which, if any, of the following are potential pathways for the exposure of human populations to elevated levels of contaminants from the site or problem?</t>
  </si>
  <si>
    <t>Which, if any, of the following environmental resources are potentially impacted by elevated levels of contaminants from the site or problem?</t>
  </si>
  <si>
    <t>Less than 5 years</t>
  </si>
  <si>
    <t>Five to 10 years</t>
  </si>
  <si>
    <t>10 to 20 years</t>
  </si>
  <si>
    <t>About 50 years</t>
  </si>
  <si>
    <t>About 100 years</t>
  </si>
  <si>
    <t>About 500 years</t>
  </si>
  <si>
    <t>Temporary, minor effect</t>
  </si>
  <si>
    <t>Coastal or marine environments</t>
  </si>
  <si>
    <t>Ground water</t>
  </si>
  <si>
    <t>Surface water</t>
  </si>
  <si>
    <t>Population or habitat of Federal or state designated or candidate endangered or threatened species</t>
  </si>
  <si>
    <t>Population or habitat of desginated sensitive species or species of concern</t>
  </si>
  <si>
    <t>Population or habitat for other biological resources</t>
  </si>
  <si>
    <t>Sites or areas of historic or cultural value, such as State or Tribal designated parks and recreation areas</t>
  </si>
  <si>
    <t>Agricultural, recreational, open space or other public land uses</t>
  </si>
  <si>
    <t>Less than 10% chance</t>
  </si>
  <si>
    <t>About 10%</t>
  </si>
  <si>
    <t>About 25%</t>
  </si>
  <si>
    <t>About 50%</t>
  </si>
  <si>
    <t>About 75%</t>
  </si>
  <si>
    <t>About 90%</t>
  </si>
  <si>
    <t>Greater than 90%</t>
  </si>
  <si>
    <t>Moderate impact</t>
  </si>
  <si>
    <t>Severe impact</t>
  </si>
  <si>
    <t>Very severe impact</t>
  </si>
  <si>
    <t>Likelihood of adverse environmental impacts</t>
  </si>
  <si>
    <t>Severity of environmental impacts</t>
  </si>
  <si>
    <t>Environment</t>
  </si>
  <si>
    <t>Likelihood of exposure</t>
  </si>
  <si>
    <t>Public Health &amp; Safety</t>
  </si>
  <si>
    <t>Extremely unlikely (e.g., 1 in 1,000,000)</t>
  </si>
  <si>
    <t>Severity of env. impact</t>
  </si>
  <si>
    <t>Responsiveness</t>
  </si>
  <si>
    <t>Time to completion</t>
  </si>
  <si>
    <t>METRIC</t>
  </si>
  <si>
    <t>OBJECTIVE</t>
  </si>
  <si>
    <t>Somewhat unlikely (e.g., 1 in 1,000)</t>
  </si>
  <si>
    <t>Very large: roughly 10,000 people</t>
  </si>
  <si>
    <t>Large: roughly 1,000 people</t>
  </si>
  <si>
    <t>HEALTH &amp; SAFETY</t>
  </si>
  <si>
    <t>ENVIRONMENT</t>
  </si>
  <si>
    <t>REGULATORY RESPONSIVENESS</t>
  </si>
  <si>
    <t>TIME TO COMPLETION</t>
  </si>
  <si>
    <t>COST</t>
  </si>
  <si>
    <t>Check all that apply:   If "no," provide a brief explanation of why exposures via this pathway are not credible</t>
  </si>
  <si>
    <t>Number exposed</t>
  </si>
  <si>
    <t>Exposure time</t>
  </si>
  <si>
    <t>Likelihood of impact</t>
  </si>
  <si>
    <t>TIME</t>
  </si>
  <si>
    <t>Estimate</t>
  </si>
  <si>
    <t>Discount</t>
  </si>
  <si>
    <t>Uncertainty</t>
  </si>
  <si>
    <t>Dermal</t>
  </si>
  <si>
    <t xml:space="preserve">Endangered </t>
  </si>
  <si>
    <t xml:space="preserve">Agricultural </t>
  </si>
  <si>
    <t xml:space="preserve">Historic </t>
  </si>
  <si>
    <t xml:space="preserve">Biological </t>
  </si>
  <si>
    <t xml:space="preserve">Sensitive </t>
  </si>
  <si>
    <t>Coastal</t>
  </si>
  <si>
    <t>Score</t>
  </si>
  <si>
    <t>Highly responsive</t>
  </si>
  <si>
    <t>Responsive</t>
  </si>
  <si>
    <t>Somewhat responsive</t>
  </si>
  <si>
    <t>Marginally responsive</t>
  </si>
  <si>
    <t>Minor impact</t>
  </si>
  <si>
    <t>Time = index(exposure_time_scale, c)</t>
  </si>
  <si>
    <t>Likelihood of exposure (a)</t>
  </si>
  <si>
    <t>Number of people exposed (b)</t>
  </si>
  <si>
    <t>Timing of exposure ( c)</t>
  </si>
  <si>
    <t>Likelihood of health impact (d)</t>
  </si>
  <si>
    <t>Severity = index(health_severity_scale, e)</t>
  </si>
  <si>
    <t>Severity of effect (e)</t>
  </si>
  <si>
    <t>Discount rate</t>
  </si>
  <si>
    <t>Likelihood of adverse env. Impact (f)</t>
  </si>
  <si>
    <t>ESeverity = index(env_severity_scale, g)</t>
  </si>
  <si>
    <t>Probability (env_impact) = index(env_prob_scale, f)</t>
  </si>
  <si>
    <t>SCORE</t>
  </si>
  <si>
    <t>SCALED VALUE</t>
  </si>
  <si>
    <t>RR = index(rr_scale, h)</t>
  </si>
  <si>
    <t>Time = index(time_to_completion_scale, i)</t>
  </si>
  <si>
    <t>V(HS) (ingestion)</t>
  </si>
  <si>
    <t>V(HS) (dermal)</t>
  </si>
  <si>
    <t>V(HS) (inhalation)</t>
  </si>
  <si>
    <t>V(HS) (other)</t>
  </si>
  <si>
    <t>N/A</t>
  </si>
  <si>
    <t>NA</t>
  </si>
  <si>
    <t xml:space="preserve">V(HS) </t>
  </si>
  <si>
    <t xml:space="preserve">V(Env) </t>
  </si>
  <si>
    <t>V(RR)</t>
  </si>
  <si>
    <t>V(Time)</t>
  </si>
  <si>
    <t>Component #</t>
  </si>
  <si>
    <t>Costs</t>
  </si>
  <si>
    <t>The proposed solution is likely to be viewed by the regulator as:</t>
  </si>
  <si>
    <t>If such exposure occurs, the number of people exposed will be:</t>
  </si>
  <si>
    <t>And the exposure will occur in about:</t>
  </si>
  <si>
    <t>And the severity of the effect will be:</t>
  </si>
  <si>
    <t>The likelihood this resource will suffer an adverse impact is:</t>
  </si>
  <si>
    <t>The impact, if it occurs, will be:</t>
  </si>
  <si>
    <t>Objective</t>
  </si>
  <si>
    <t>Description of range to weight</t>
  </si>
  <si>
    <t>Env Impact</t>
  </si>
  <si>
    <t>Regulatory Responsiveness</t>
  </si>
  <si>
    <t>$5 million</t>
  </si>
  <si>
    <t>One future fatality to 0 risk</t>
  </si>
  <si>
    <t>Relative weight</t>
  </si>
  <si>
    <t>Ranking</t>
  </si>
  <si>
    <t>Normalized weights</t>
  </si>
  <si>
    <t>SAU range weighted</t>
  </si>
  <si>
    <t>Weights for 100 units</t>
  </si>
  <si>
    <t>V(Cost)</t>
  </si>
  <si>
    <t>Probability (exposure) = 10^(a-8)</t>
  </si>
  <si>
    <t>Number = if(b=2,2,10^(b-2))</t>
  </si>
  <si>
    <t>Probability (impact) = 10^(a-8)</t>
  </si>
  <si>
    <t>Significant impact</t>
  </si>
  <si>
    <t>Not responsive</t>
  </si>
  <si>
    <t>Scale of the rated range</t>
  </si>
  <si>
    <t>Weight the value of the improvement</t>
  </si>
  <si>
    <t>Wgt for 100 units</t>
  </si>
  <si>
    <t>fatality</t>
  </si>
  <si>
    <t>gw impact</t>
  </si>
  <si>
    <t>reg</t>
  </si>
  <si>
    <t>per year</t>
  </si>
  <si>
    <t>WORKER HEALTH &amp; SAFETY</t>
  </si>
  <si>
    <t>Likelihood of effect</t>
  </si>
  <si>
    <t>Worker Health &amp; Safety</t>
  </si>
  <si>
    <t>PUBLIC H&amp;S</t>
  </si>
  <si>
    <t>WORKER H&amp;S</t>
  </si>
  <si>
    <t>Low</t>
  </si>
  <si>
    <t>High</t>
  </si>
  <si>
    <t>Uncertainty in low cost</t>
  </si>
  <si>
    <t>Uncertainty in high cost</t>
  </si>
  <si>
    <t>PUBLIC HEALTH &amp; SAFETY</t>
  </si>
  <si>
    <t xml:space="preserve">V(WHS) </t>
  </si>
  <si>
    <t>ALTERNATIVE</t>
  </si>
  <si>
    <t xml:space="preserve">OBJECTIVE &gt;&gt;   </t>
  </si>
  <si>
    <t>V(Env) (coastal)</t>
  </si>
  <si>
    <t>V(Env) (sw)</t>
  </si>
  <si>
    <t>V(Env) (wet)</t>
  </si>
  <si>
    <t>V(Env) (bio)</t>
  </si>
  <si>
    <t>V(Env) (end)</t>
  </si>
  <si>
    <t>V(Env) (sens)</t>
  </si>
  <si>
    <t>V(Env) (hist)</t>
  </si>
  <si>
    <t>V(Env) (ag)</t>
  </si>
  <si>
    <t>Wh</t>
  </si>
  <si>
    <t>We</t>
  </si>
  <si>
    <t>Wrr</t>
  </si>
  <si>
    <t>Wt</t>
  </si>
  <si>
    <t>Wc</t>
  </si>
  <si>
    <t>SINGLE OBJECTIVE COMPONENT VALUE</t>
  </si>
  <si>
    <t>MAU</t>
  </si>
  <si>
    <t xml:space="preserve">MAU =  Wh*V(HS) + Wh*V(WHS) + We*V(Env) + Wrr*V(RR) + Wt*V(T) </t>
  </si>
  <si>
    <t>A-WEIGHTED SINGLE AND MULTI-OBJECTIVE VALUE</t>
  </si>
  <si>
    <t>B-WEIGHTED SINGLE AND MULTI-OBJECTIVE VALUE</t>
  </si>
  <si>
    <t>C-WEIGHTED SINGLE AND MULTI-OBJECTIVE VALUE</t>
  </si>
  <si>
    <t>SCALING FUNCTION</t>
  </si>
  <si>
    <t>V(Env) (environment) = Probability (impact) * Severity (impact)</t>
  </si>
  <si>
    <t>SINGLE OBJECTIVE VALUE</t>
  </si>
  <si>
    <t>V(PHS) = Wh * ( V(PHS) (ingestion) + V(PHS) (dermal) + V(PHS) (inhalation) + V(PHS) (other) )</t>
  </si>
  <si>
    <t>V(WHS) = Wh * ( Probability (effect) * Severity * Number )</t>
  </si>
  <si>
    <t>V(RR) = Wrr * RR</t>
  </si>
  <si>
    <t>V(Time) = Wt * Time</t>
  </si>
  <si>
    <t>Weighted Single Attribute Utility Values :</t>
  </si>
  <si>
    <t>Single Attribute Component Values :</t>
  </si>
  <si>
    <t>Weighted Multi-Attribute Utility Values :</t>
  </si>
  <si>
    <t>Not important for volatiles</t>
  </si>
  <si>
    <t xml:space="preserve">User Specified   (Enter Value to Right) </t>
  </si>
  <si>
    <t>V(Cost) = Wc * Cost</t>
  </si>
  <si>
    <t>=IF(AR5&gt;7,AR5/5,IF(AR5&gt;0,LOOKUP(AR5,Time_completion),0))</t>
  </si>
  <si>
    <t>Total costs.</t>
  </si>
  <si>
    <t>Cost uncertainty</t>
  </si>
  <si>
    <t>Likelihood of injury or illness</t>
  </si>
  <si>
    <t>Worker population exposed</t>
  </si>
  <si>
    <t>Severity of effect, assuming it occurs</t>
  </si>
  <si>
    <t>User-specified -WEIGHTED SINGLE AND MULTI-OBJECTIVE VALUE</t>
  </si>
  <si>
    <t>90% of the estimate above</t>
  </si>
  <si>
    <t>95% of the estimate above</t>
  </si>
  <si>
    <t>75% of the estimate above</t>
  </si>
  <si>
    <t>Half the estimate above</t>
  </si>
  <si>
    <t>Costs may be lower than the estimate above, but are unlikely to be lower than:</t>
  </si>
  <si>
    <t>Costs may be higher than the estimate above, but are unlikely to be higher than:</t>
  </si>
  <si>
    <t>5% higher (or 1.05 times the estimate above)</t>
  </si>
  <si>
    <t>10% higher (1.1 times the estimate above)</t>
  </si>
  <si>
    <t>50% higher (1.5 times the estimate above)</t>
  </si>
  <si>
    <t>25% higher (1.25 times the estimate above)</t>
  </si>
  <si>
    <t>Twice the estimate above</t>
  </si>
  <si>
    <t>3 times the estimate above</t>
  </si>
  <si>
    <t>Resource</t>
  </si>
  <si>
    <t>Relative value of resource</t>
  </si>
  <si>
    <t>mu</t>
  </si>
  <si>
    <t>sigma^2</t>
  </si>
  <si>
    <r>
      <t xml:space="preserve">The current solution is viewed as </t>
    </r>
    <r>
      <rPr>
        <sz val="12"/>
        <color indexed="12"/>
        <rFont val="Arial"/>
        <family val="2"/>
      </rPr>
      <t>marginally responsive</t>
    </r>
    <r>
      <rPr>
        <sz val="12"/>
        <rFont val="Arial"/>
        <family val="2"/>
      </rPr>
      <t xml:space="preserve"> to regulatory concerns</t>
    </r>
  </si>
  <si>
    <r>
      <t xml:space="preserve">The proposed solution will be viewed as </t>
    </r>
    <r>
      <rPr>
        <sz val="12"/>
        <color indexed="12"/>
        <rFont val="Arial"/>
        <family val="2"/>
      </rPr>
      <t>highly responsive</t>
    </r>
    <r>
      <rPr>
        <sz val="12"/>
        <rFont val="Arial"/>
        <family val="2"/>
      </rPr>
      <t xml:space="preserve"> to regulatory concerns</t>
    </r>
  </si>
  <si>
    <r>
      <t xml:space="preserve">Closure is expected </t>
    </r>
    <r>
      <rPr>
        <sz val="12"/>
        <color indexed="12"/>
        <rFont val="Arial"/>
        <family val="2"/>
      </rPr>
      <t>within 5 years</t>
    </r>
  </si>
  <si>
    <r>
      <t xml:space="preserve">The estimated discounted total costs to reach closure for the site are about </t>
    </r>
    <r>
      <rPr>
        <sz val="12"/>
        <color indexed="12"/>
        <rFont val="Arial"/>
        <family val="2"/>
      </rPr>
      <t>$10 million</t>
    </r>
  </si>
  <si>
    <r>
      <t xml:space="preserve">The estimated discounted total cost to reach closure for the site is about </t>
    </r>
    <r>
      <rPr>
        <sz val="12"/>
        <color indexed="12"/>
        <rFont val="Arial"/>
        <family val="2"/>
      </rPr>
      <t>$5 million</t>
    </r>
  </si>
  <si>
    <t>Maximize public health and safety, minimize worker risks</t>
  </si>
  <si>
    <t>Minimize adverse environmental risks</t>
  </si>
  <si>
    <t>Maximize regulatory responsiveness</t>
  </si>
  <si>
    <t>Minimize total estimated costs</t>
  </si>
  <si>
    <t>What is the relative value of improving from this level of performance…</t>
  </si>
  <si>
    <t>…to this level of performance</t>
  </si>
  <si>
    <r>
      <t xml:space="preserve">Chances of exposure to elevated levels of contamination are about </t>
    </r>
    <r>
      <rPr>
        <sz val="12"/>
        <color indexed="12"/>
        <rFont val="Arial"/>
        <family val="2"/>
      </rPr>
      <t>1 in a million</t>
    </r>
    <r>
      <rPr>
        <sz val="12"/>
        <rFont val="Arial"/>
        <family val="2"/>
      </rPr>
      <t xml:space="preserve">.  
If exposures occur, only </t>
    </r>
    <r>
      <rPr>
        <sz val="12"/>
        <color indexed="12"/>
        <rFont val="Arial"/>
        <family val="2"/>
      </rPr>
      <t>1-2 people</t>
    </r>
    <r>
      <rPr>
        <sz val="12"/>
        <rFont val="Arial"/>
        <family val="2"/>
      </rPr>
      <t xml:space="preserve"> will be exposed and such exposures will be</t>
    </r>
    <r>
      <rPr>
        <sz val="12"/>
        <color indexed="12"/>
        <rFont val="Arial"/>
        <family val="2"/>
      </rPr>
      <t xml:space="preserve"> more than 500 years in the future.  
Health effects from the exposure are extremely unlikely (1 chance in a million), and such </t>
    </r>
    <r>
      <rPr>
        <sz val="12"/>
        <rFont val="Arial"/>
        <family val="2"/>
      </rPr>
      <t xml:space="preserve">health effects will be </t>
    </r>
    <r>
      <rPr>
        <sz val="12"/>
        <color indexed="12"/>
        <rFont val="Arial"/>
        <family val="2"/>
      </rPr>
      <t>minor and temporary</t>
    </r>
  </si>
  <si>
    <t>Enter the name and a brief description of each alternative to be evaluated.</t>
  </si>
  <si>
    <t>You may enter up to 20 alternatives</t>
  </si>
  <si>
    <r>
      <t xml:space="preserve">Decide which improvement has the </t>
    </r>
    <r>
      <rPr>
        <b/>
        <sz val="12"/>
        <color indexed="10"/>
        <rFont val="Arial"/>
        <family val="2"/>
      </rPr>
      <t>LEAST</t>
    </r>
    <r>
      <rPr>
        <b/>
        <sz val="12"/>
        <rFont val="Arial"/>
        <family val="2"/>
      </rPr>
      <t xml:space="preserve"> value to you, and assign it a relative weight of 10.</t>
    </r>
  </si>
  <si>
    <r>
      <t xml:space="preserve">Chances are </t>
    </r>
    <r>
      <rPr>
        <sz val="12"/>
        <color indexed="12"/>
        <rFont val="Arial"/>
        <family val="2"/>
      </rPr>
      <t xml:space="preserve">likely (1 chance in 10) </t>
    </r>
    <r>
      <rPr>
        <sz val="12"/>
        <rFont val="Arial"/>
        <family val="2"/>
      </rPr>
      <t xml:space="preserve">that about </t>
    </r>
    <r>
      <rPr>
        <sz val="12"/>
        <color indexed="12"/>
        <rFont val="Arial"/>
        <family val="2"/>
      </rPr>
      <t xml:space="preserve">1000 people </t>
    </r>
    <r>
      <rPr>
        <sz val="12"/>
        <rFont val="Arial"/>
        <family val="2"/>
      </rPr>
      <t xml:space="preserve">will be exposed to elevated levels of contamination </t>
    </r>
    <r>
      <rPr>
        <sz val="12"/>
        <color indexed="12"/>
        <rFont val="Arial"/>
        <family val="2"/>
      </rPr>
      <t>within the next 5 years</t>
    </r>
    <r>
      <rPr>
        <sz val="12"/>
        <rFont val="Arial"/>
        <family val="2"/>
      </rPr>
      <t>.  
If such exposures occur,</t>
    </r>
    <r>
      <rPr>
        <sz val="12"/>
        <color indexed="12"/>
        <rFont val="Arial"/>
        <family val="2"/>
      </rPr>
      <t xml:space="preserve"> health effects are relatively likely (about 1 chance in 100)</t>
    </r>
    <r>
      <rPr>
        <sz val="12"/>
        <rFont val="Arial"/>
        <family val="2"/>
      </rPr>
      <t>, and such health effects will be</t>
    </r>
    <r>
      <rPr>
        <sz val="12"/>
        <color indexed="12"/>
        <rFont val="Arial"/>
        <family val="2"/>
      </rPr>
      <t xml:space="preserve"> serious</t>
    </r>
    <r>
      <rPr>
        <sz val="12"/>
        <rFont val="Arial"/>
        <family val="2"/>
      </rPr>
      <t>.</t>
    </r>
  </si>
  <si>
    <t xml:space="preserve">Assume you have a site/contamination problem that has all the features in the left column, and you can improve it </t>
  </si>
  <si>
    <t>one objective at a time to the level in the right column.</t>
  </si>
  <si>
    <t xml:space="preserve">Assign each of the other improvements a value indicating how much more valuable that improvement is than the other.  </t>
  </si>
  <si>
    <t>(For example,if an improvement is twice as valuable to you as the least valuable, assign it a value of 20).</t>
  </si>
  <si>
    <t>Costs could be as low as:</t>
  </si>
  <si>
    <t>Impact on Public Health and Safety</t>
  </si>
  <si>
    <t>Impact on Environmental Resources</t>
  </si>
  <si>
    <t>Impacts on different environmental resources may have different values to the decision-maker.</t>
  </si>
  <si>
    <t>To specify the relative value of avoiding or eliminating adverse impacts on each of the resources below,</t>
  </si>
  <si>
    <t>1) assign a value of 1 to the resource you consider to be most important to protect</t>
  </si>
  <si>
    <t>2) assign values of 1 or less to all other resources, indicating the relative importance of protecting</t>
  </si>
  <si>
    <t>each of those resources</t>
  </si>
  <si>
    <t>If it is equally important to avoid or eliminate adverse impacts to all resources, assign a value of 1 to each</t>
  </si>
  <si>
    <t>Relative value of eliminating an adverse impact on the resource</t>
  </si>
  <si>
    <t>V(Env) (user)</t>
  </si>
  <si>
    <t>V(Env) (gwss)</t>
  </si>
  <si>
    <t>User-specified resource weights</t>
  </si>
  <si>
    <t>MAU =  Wh*V(HS) + Wh*V(WHS) + We*V(Env) + Wrr*V(RR) + Wt*V(T) + Wc*V(C)</t>
  </si>
  <si>
    <t>Marginally responsive to Highly Responsive</t>
  </si>
  <si>
    <t>About 100 years to within 5 years</t>
  </si>
  <si>
    <t>Public H&amp;S</t>
  </si>
  <si>
    <t>Worker H&amp;S</t>
  </si>
  <si>
    <r>
      <t xml:space="preserve">The time to reach completion for the site is estimated to be </t>
    </r>
    <r>
      <rPr>
        <sz val="12"/>
        <color indexed="12"/>
        <rFont val="Arial"/>
        <family val="2"/>
      </rPr>
      <t>about 100 years</t>
    </r>
  </si>
  <si>
    <t>Severe impact on T&amp;E species to 0 risk</t>
  </si>
  <si>
    <t xml:space="preserve">Minimize time to completion </t>
  </si>
  <si>
    <t xml:space="preserve">Ground water </t>
  </si>
  <si>
    <t>Sole source aquifer</t>
  </si>
  <si>
    <t>Viable for drinking water</t>
  </si>
  <si>
    <t>Not viable for drinking water</t>
  </si>
  <si>
    <t>Groundwater</t>
  </si>
  <si>
    <t>V(Env) (gw)</t>
  </si>
  <si>
    <t>V(PHS) (pathway) = (Probability (exposure) * Probability (effect) * Severity * Number) * (1/(1+health_dr)^Time))</t>
  </si>
  <si>
    <t>Default resource weights</t>
  </si>
  <si>
    <t>V(HS) user (ingestion)</t>
  </si>
  <si>
    <t>V(HS) user (dermal)</t>
  </si>
  <si>
    <t>V(HS) user (inhalation)</t>
  </si>
  <si>
    <t>V(HS) user (other)</t>
  </si>
  <si>
    <t>V(HS) user dr</t>
  </si>
  <si>
    <t>V(Env) = We * ( Probability (impact) * Severity (impact) * sum(resource scores) )</t>
  </si>
  <si>
    <t>Costs could be as high as:</t>
  </si>
  <si>
    <t>Estimated total costs</t>
  </si>
  <si>
    <t>Pilot Test Site</t>
  </si>
  <si>
    <t>Groundwater recirculation wells in upper aquifer: 3 banks in 2 treatment lines.</t>
  </si>
  <si>
    <t>Ingestion Pathway</t>
  </si>
  <si>
    <t>No action</t>
  </si>
  <si>
    <t>MAU_user</t>
  </si>
  <si>
    <t>Impact on Worker Safety</t>
  </si>
  <si>
    <t>The number of worker potentially exposed to safety risks is about:</t>
  </si>
  <si>
    <t>And the severity of that effect will be:</t>
  </si>
  <si>
    <t>MNA in MAAZ &amp; LLAZ</t>
  </si>
  <si>
    <t>Time to Completion (in years)</t>
  </si>
  <si>
    <t>Exposure to elevated levels of contaminants is:</t>
  </si>
  <si>
    <t>If exposure occurs, adverse impacts on health are:</t>
  </si>
  <si>
    <t>The likelihood any worker will suffer an adverse safety or health effect is:</t>
  </si>
  <si>
    <r>
      <t xml:space="preserve">There is about a </t>
    </r>
    <r>
      <rPr>
        <sz val="12"/>
        <color indexed="12"/>
        <rFont val="Arial"/>
        <family val="2"/>
      </rPr>
      <t>50% chance</t>
    </r>
    <r>
      <rPr>
        <sz val="12"/>
        <rFont val="Arial"/>
        <family val="2"/>
      </rPr>
      <t xml:space="preserve"> that a highly valued environmental resource, such as </t>
    </r>
    <r>
      <rPr>
        <sz val="12"/>
        <color indexed="12"/>
        <rFont val="Arial"/>
        <family val="2"/>
      </rPr>
      <t>habitat for a threatened or endangered species</t>
    </r>
    <r>
      <rPr>
        <sz val="12"/>
        <rFont val="Arial"/>
        <family val="2"/>
      </rPr>
      <t xml:space="preserve"> will suffer a </t>
    </r>
    <r>
      <rPr>
        <sz val="12"/>
        <color indexed="12"/>
        <rFont val="Arial"/>
        <family val="2"/>
      </rPr>
      <t>severe</t>
    </r>
    <r>
      <rPr>
        <sz val="12"/>
        <rFont val="Arial"/>
        <family val="2"/>
      </rPr>
      <t xml:space="preserve"> level of impact </t>
    </r>
    <r>
      <rPr>
        <sz val="12"/>
        <color indexed="12"/>
        <rFont val="Arial"/>
        <family val="2"/>
      </rPr>
      <t>(i.e., widespread and potentially permanent)</t>
    </r>
    <r>
      <rPr>
        <sz val="12"/>
        <rFont val="Arial"/>
        <family val="2"/>
      </rPr>
      <t xml:space="preserve"> due to contamination from the site.</t>
    </r>
  </si>
  <si>
    <r>
      <t xml:space="preserve">There is </t>
    </r>
    <r>
      <rPr>
        <sz val="12"/>
        <color indexed="12"/>
        <rFont val="Arial"/>
        <family val="2"/>
      </rPr>
      <t>less than a 10% chance</t>
    </r>
    <r>
      <rPr>
        <sz val="12"/>
        <rFont val="Arial"/>
        <family val="2"/>
      </rPr>
      <t xml:space="preserve"> that valued environmental resources suffer any adverse impacts due to contamination from the site.  
If such impacts occur they will be</t>
    </r>
    <r>
      <rPr>
        <sz val="12"/>
        <color indexed="12"/>
        <rFont val="Arial"/>
        <family val="2"/>
      </rPr>
      <t xml:space="preserve"> minor and self-correcting within a year.</t>
    </r>
  </si>
  <si>
    <t>Groundwater
Viable for drinking water</t>
  </si>
  <si>
    <t>Sole-source ground water aquifer</t>
  </si>
  <si>
    <t>Ground water potentially viable as drinking water</t>
  </si>
  <si>
    <t>Ground water not viable as drinking water</t>
  </si>
  <si>
    <t>Environmental Resource</t>
  </si>
  <si>
    <t>Surface water/ sediment</t>
  </si>
  <si>
    <t>Surface water / Sediment</t>
  </si>
  <si>
    <t>Value functions to use:</t>
  </si>
  <si>
    <t>Menu items for "results table"</t>
  </si>
  <si>
    <t>Built-in functions</t>
  </si>
  <si>
    <t>Weights to use:</t>
  </si>
  <si>
    <t>Weight Set 1</t>
  </si>
  <si>
    <t>Weight Set 2</t>
  </si>
  <si>
    <t>Weight Set 3</t>
  </si>
  <si>
    <t>User-defined Weights</t>
  </si>
  <si>
    <t xml:space="preserve">V(Worker Safety) </t>
  </si>
  <si>
    <t xml:space="preserve">V(Env. impact) </t>
  </si>
  <si>
    <t>V(Reg. resposniveness)</t>
  </si>
  <si>
    <t>V(Total cost)</t>
  </si>
  <si>
    <t>V(Time to complete)</t>
  </si>
  <si>
    <t>V(Env impact) 
(user-specified)</t>
  </si>
  <si>
    <t>What is the relative value of reducing the time to completion from…</t>
  </si>
  <si>
    <t>To…</t>
  </si>
  <si>
    <t>5 to 10 years</t>
  </si>
  <si>
    <t xml:space="preserve">health and safety, and for environmental resources; they are equally responsive to regulatory concerns, and the total </t>
  </si>
  <si>
    <r>
      <t>aspects except for the time it will take to reach completion.</t>
    </r>
    <r>
      <rPr>
        <b/>
        <sz val="12"/>
        <rFont val="Arial"/>
        <family val="2"/>
      </rPr>
      <t xml:space="preserve">  That is, they offer the same protection for public and worker</t>
    </r>
  </si>
  <si>
    <t xml:space="preserve">estimated costs are the same.  </t>
  </si>
  <si>
    <t>and worker risks and on the environment, the regulatory responsiveness, and the total costs are unchanged.</t>
  </si>
  <si>
    <r>
      <t>(1) Assume you have several alternatives for addressing contamination at a site, and those alternatives</t>
    </r>
    <r>
      <rPr>
        <b/>
        <i/>
        <sz val="12"/>
        <rFont val="Arial"/>
        <family val="2"/>
      </rPr>
      <t xml:space="preserve"> are identical in all</t>
    </r>
  </si>
  <si>
    <t>(2) Now assume you can improve each alternative by reducing the time to reach completion for each, but the impacts on public</t>
  </si>
  <si>
    <t>Less than 5 years
(a reduction of over 495 years)</t>
  </si>
  <si>
    <t xml:space="preserve">About 500 years </t>
  </si>
  <si>
    <t>Less than 5 years
(a reduction of over 95 years)</t>
  </si>
  <si>
    <t>Less than 5 years
(a reduction of about 45 years)</t>
  </si>
  <si>
    <t>Less than 5 years
(a reduction of 5 to 10 years)</t>
  </si>
  <si>
    <t>Less than 5 years
(a reduction of ~10 to 15 years)</t>
  </si>
  <si>
    <t>(3) Weight the relative value of the improvement shown in each row in the table below.  By convention, the largest</t>
  </si>
  <si>
    <t>reduction in time (from 500 years to less than 5 years) is assigned a value of 100.  Weight each of the other changes</t>
  </si>
  <si>
    <t>relative to this value of 100.</t>
  </si>
  <si>
    <t>Discount rate used in valuing the benefit of reducing risks to public health and safety</t>
  </si>
  <si>
    <t>V(Time) (user)</t>
  </si>
  <si>
    <t>User-specified</t>
  </si>
  <si>
    <r>
      <t>MAU =  Wh*V(HS)</t>
    </r>
    <r>
      <rPr>
        <b/>
        <sz val="10"/>
        <color indexed="20"/>
        <rFont val="Arial"/>
        <family val="2"/>
      </rPr>
      <t>(user dr)</t>
    </r>
    <r>
      <rPr>
        <b/>
        <sz val="10"/>
        <rFont val="Arial"/>
        <family val="2"/>
      </rPr>
      <t xml:space="preserve"> + Wh*V(WHS) + We*</t>
    </r>
    <r>
      <rPr>
        <b/>
        <sz val="10"/>
        <color indexed="20"/>
        <rFont val="Arial"/>
        <family val="2"/>
      </rPr>
      <t>V(Env)(user)</t>
    </r>
    <r>
      <rPr>
        <b/>
        <sz val="10"/>
        <rFont val="Arial"/>
        <family val="2"/>
      </rPr>
      <t xml:space="preserve"> + Wrr*V(RR) + Wt*</t>
    </r>
    <r>
      <rPr>
        <b/>
        <sz val="10"/>
        <color indexed="20"/>
        <rFont val="Arial"/>
        <family val="2"/>
      </rPr>
      <t>V(T)(user)</t>
    </r>
    <r>
      <rPr>
        <b/>
        <sz val="10"/>
        <rFont val="Arial"/>
        <family val="2"/>
      </rPr>
      <t xml:space="preserve"> + Wc*V(C)</t>
    </r>
  </si>
  <si>
    <t xml:space="preserve">V(Public Health &amp; Safety) 
(user-specified) </t>
  </si>
  <si>
    <t>V(Time to complete) 
(user-specified)</t>
  </si>
  <si>
    <t>Time (User-specifed scaling function)</t>
  </si>
  <si>
    <r>
      <t xml:space="preserve">MAU =  </t>
    </r>
    <r>
      <rPr>
        <b/>
        <sz val="10"/>
        <color indexed="20"/>
        <rFont val="Arial"/>
        <family val="2"/>
      </rPr>
      <t>Wh</t>
    </r>
    <r>
      <rPr>
        <b/>
        <sz val="10"/>
        <rFont val="Arial"/>
        <family val="2"/>
      </rPr>
      <t>*V(HS)</t>
    </r>
    <r>
      <rPr>
        <b/>
        <sz val="10"/>
        <color indexed="20"/>
        <rFont val="Arial"/>
        <family val="2"/>
      </rPr>
      <t>(user dr)</t>
    </r>
    <r>
      <rPr>
        <b/>
        <sz val="10"/>
        <rFont val="Arial"/>
        <family val="2"/>
      </rPr>
      <t xml:space="preserve"> + </t>
    </r>
    <r>
      <rPr>
        <b/>
        <sz val="10"/>
        <color indexed="20"/>
        <rFont val="Arial"/>
        <family val="2"/>
      </rPr>
      <t>Wh</t>
    </r>
    <r>
      <rPr>
        <b/>
        <sz val="10"/>
        <rFont val="Arial"/>
        <family val="2"/>
      </rPr>
      <t xml:space="preserve">*V(WHS) + </t>
    </r>
    <r>
      <rPr>
        <b/>
        <sz val="10"/>
        <color indexed="20"/>
        <rFont val="Arial"/>
        <family val="2"/>
      </rPr>
      <t>We</t>
    </r>
    <r>
      <rPr>
        <b/>
        <sz val="10"/>
        <rFont val="Arial"/>
        <family val="2"/>
      </rPr>
      <t>*</t>
    </r>
    <r>
      <rPr>
        <b/>
        <sz val="10"/>
        <color indexed="20"/>
        <rFont val="Arial"/>
        <family val="2"/>
      </rPr>
      <t>V(Env)(user)</t>
    </r>
    <r>
      <rPr>
        <b/>
        <sz val="10"/>
        <rFont val="Arial"/>
        <family val="2"/>
      </rPr>
      <t xml:space="preserve"> + </t>
    </r>
    <r>
      <rPr>
        <b/>
        <sz val="10"/>
        <color indexed="20"/>
        <rFont val="Arial"/>
        <family val="2"/>
      </rPr>
      <t>Wrr</t>
    </r>
    <r>
      <rPr>
        <b/>
        <sz val="10"/>
        <rFont val="Arial"/>
        <family val="2"/>
      </rPr>
      <t xml:space="preserve">*V(RR) + </t>
    </r>
    <r>
      <rPr>
        <b/>
        <sz val="10"/>
        <color indexed="20"/>
        <rFont val="Arial"/>
        <family val="2"/>
      </rPr>
      <t>Wt</t>
    </r>
    <r>
      <rPr>
        <b/>
        <sz val="10"/>
        <rFont val="Arial"/>
        <family val="2"/>
      </rPr>
      <t>*</t>
    </r>
    <r>
      <rPr>
        <b/>
        <sz val="10"/>
        <color indexed="20"/>
        <rFont val="Arial"/>
        <family val="2"/>
      </rPr>
      <t>V(T)(user)</t>
    </r>
    <r>
      <rPr>
        <b/>
        <sz val="10"/>
        <rFont val="Arial"/>
        <family val="2"/>
      </rPr>
      <t xml:space="preserve"> + </t>
    </r>
    <r>
      <rPr>
        <b/>
        <sz val="10"/>
        <color indexed="20"/>
        <rFont val="Arial"/>
        <family val="2"/>
      </rPr>
      <t>Wc</t>
    </r>
    <r>
      <rPr>
        <b/>
        <sz val="10"/>
        <rFont val="Arial"/>
        <family val="2"/>
      </rPr>
      <t>*V(C)</t>
    </r>
  </si>
  <si>
    <t>MAU
(Weight Set 1)</t>
  </si>
  <si>
    <t>MAU
(Weight Set 2)</t>
  </si>
  <si>
    <t>MAU
(Weight Set 3)</t>
  </si>
  <si>
    <t>GW recirc in LLAZ &amp; MAAZ to 50 ug/L</t>
  </si>
  <si>
    <t>ChemOx in LLAZ to 50 ug/L; GW recirc in MAAZ to 50 ug/L</t>
  </si>
  <si>
    <t>PRB in LLAZ to 50 ug/L; GW recirc in MAAZ to 50 ug/L</t>
  </si>
  <si>
    <t>GW recirc in LLAZ to 50 ug/L; MNA in MAAZ</t>
  </si>
  <si>
    <t>Operate existing gw recirc wells to 50 ug/L; MNA in residual</t>
  </si>
  <si>
    <t>PRB in LLAZ to 50 ug/L; MNA in MAAZ</t>
  </si>
  <si>
    <t>ChemOx in LLAZ to 50 ug/L; MNA in MAAZ</t>
  </si>
  <si>
    <t xml:space="preserve">User-defined functions </t>
  </si>
  <si>
    <t>MAU
(User-specified Weight)</t>
  </si>
  <si>
    <t>MAU 
(user-specified value functions and Weight Set 2)</t>
  </si>
  <si>
    <t>MAU 
(user-specified value functions and Weight Set 1)</t>
  </si>
  <si>
    <t>MAU 
(user-specified value functions and Weight Set 3)</t>
  </si>
  <si>
    <t>V(Public Health &amp; Safety)</t>
  </si>
  <si>
    <t xml:space="preserve">V(Public Health &amp; Safety) </t>
  </si>
  <si>
    <t>MAU 
(user-specified value functions and user-specfied weights)</t>
  </si>
  <si>
    <t>Dermal Pathway</t>
  </si>
  <si>
    <t>Inhalation Pathway</t>
  </si>
  <si>
    <t>Other Pathway</t>
  </si>
  <si>
    <t>Inhalation pathway</t>
  </si>
  <si>
    <t>Severity of health impact, assuming impact occurs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</si>
</sst>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quot;$&quot;#,##0"/>
    <numFmt numFmtId="170" formatCode="0.0"/>
    <numFmt numFmtId="171" formatCode="0.00000000"/>
    <numFmt numFmtId="172" formatCode="0.000000000"/>
    <numFmt numFmtId="173" formatCode="&quot;Yes&quot;;&quot;Yes&quot;;&quot;No&quot;"/>
    <numFmt numFmtId="174" formatCode="&quot;True&quot;;&quot;True&quot;;&quot;False&quot;"/>
    <numFmt numFmtId="175" formatCode="&quot;On&quot;;&quot;On&quot;;&quot;Off&quot;"/>
    <numFmt numFmtId="176" formatCode="[$€-2]\ #,##0.00_);[Red]\([$€-2]\ #,##0.00\)"/>
    <numFmt numFmtId="177" formatCode="_(&quot;$&quot;* #,##0.000_);_(&quot;$&quot;* \(#,##0.000\);_(&quot;$&quot;* &quot;-&quot;??_);_(@_)"/>
    <numFmt numFmtId="178" formatCode="&quot;$&quot;#,##0.000_);[Red]\(&quot;$&quot;#,##0.000\)"/>
    <numFmt numFmtId="179" formatCode="&quot;$&quot;#,##0.0_);[Red]\(&quot;$&quot;#,##0.0\)"/>
    <numFmt numFmtId="180" formatCode="[$-409]h:mm:ss\ AM/PM"/>
    <numFmt numFmtId="181" formatCode="&quot;$&quot;_#\,##0"/>
    <numFmt numFmtId="182" formatCode="&quot;$&quot;\ #,##0"/>
    <numFmt numFmtId="183" formatCode="0.0E+00"/>
    <numFmt numFmtId="184" formatCode="0E+00"/>
    <numFmt numFmtId="185" formatCode="0.E+00"/>
    <numFmt numFmtId="186" formatCode="_(* #,##0.0_);_(* \(#,##0.0\);_(* &quot;-&quot;??_);_(@_)"/>
    <numFmt numFmtId="187" formatCode="_(* #,##0_);_(* \(#,##0\);_(* &quot;-&quot;??_);_(@_)"/>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 numFmtId="200" formatCode="0.0%"/>
    <numFmt numFmtId="201" formatCode="&quot;$&quot;#,##0.00"/>
    <numFmt numFmtId="202" formatCode="00E+00"/>
  </numFmts>
  <fonts count="43">
    <font>
      <sz val="10"/>
      <name val="Arial"/>
      <family val="0"/>
    </font>
    <font>
      <sz val="8"/>
      <name val="Tahoma"/>
      <family val="2"/>
    </font>
    <font>
      <b/>
      <sz val="10"/>
      <name val="Arial"/>
      <family val="2"/>
    </font>
    <font>
      <b/>
      <sz val="12"/>
      <color indexed="10"/>
      <name val="Arial"/>
      <family val="2"/>
    </font>
    <font>
      <b/>
      <sz val="12"/>
      <name val="Arial"/>
      <family val="2"/>
    </font>
    <font>
      <sz val="8"/>
      <name val="Arial"/>
      <family val="2"/>
    </font>
    <font>
      <sz val="12"/>
      <name val="Arial"/>
      <family val="2"/>
    </font>
    <font>
      <b/>
      <i/>
      <sz val="10"/>
      <name val="Arial"/>
      <family val="2"/>
    </font>
    <font>
      <sz val="10"/>
      <name val="Times New Roman"/>
      <family val="1"/>
    </font>
    <font>
      <sz val="1"/>
      <name val="Arial"/>
      <family val="0"/>
    </font>
    <font>
      <sz val="12"/>
      <color indexed="17"/>
      <name val="Times New Roman"/>
      <family val="1"/>
    </font>
    <font>
      <sz val="10"/>
      <color indexed="10"/>
      <name val="Arial"/>
      <family val="0"/>
    </font>
    <font>
      <u val="single"/>
      <sz val="10"/>
      <color indexed="12"/>
      <name val="Arial"/>
      <family val="0"/>
    </font>
    <font>
      <u val="single"/>
      <sz val="10"/>
      <color indexed="36"/>
      <name val="Arial"/>
      <family val="0"/>
    </font>
    <font>
      <b/>
      <sz val="14"/>
      <name val="Arial"/>
      <family val="2"/>
    </font>
    <font>
      <i/>
      <sz val="12"/>
      <color indexed="10"/>
      <name val="Arial"/>
      <family val="2"/>
    </font>
    <font>
      <sz val="10.25"/>
      <name val="Arial"/>
      <family val="0"/>
    </font>
    <font>
      <i/>
      <sz val="10"/>
      <name val="Times New Roman"/>
      <family val="1"/>
    </font>
    <font>
      <sz val="10"/>
      <name val="Tahoma"/>
      <family val="2"/>
    </font>
    <font>
      <b/>
      <sz val="10"/>
      <name val="Tahoma"/>
      <family val="2"/>
    </font>
    <font>
      <sz val="4"/>
      <name val="Arial"/>
      <family val="0"/>
    </font>
    <font>
      <sz val="10"/>
      <color indexed="55"/>
      <name val="Arial"/>
      <family val="0"/>
    </font>
    <font>
      <b/>
      <i/>
      <sz val="12"/>
      <name val="Arial"/>
      <family val="2"/>
    </font>
    <font>
      <b/>
      <sz val="10"/>
      <color indexed="14"/>
      <name val="Arial"/>
      <family val="2"/>
    </font>
    <font>
      <b/>
      <sz val="8"/>
      <name val="Tahoma"/>
      <family val="2"/>
    </font>
    <font>
      <b/>
      <u val="single"/>
      <sz val="8"/>
      <name val="Tahoma"/>
      <family val="2"/>
    </font>
    <font>
      <u val="single"/>
      <sz val="8"/>
      <name val="Tahoma"/>
      <family val="2"/>
    </font>
    <font>
      <sz val="8"/>
      <color indexed="10"/>
      <name val="Tahoma"/>
      <family val="2"/>
    </font>
    <font>
      <b/>
      <i/>
      <sz val="16"/>
      <name val="Arial"/>
      <family val="2"/>
    </font>
    <font>
      <sz val="12"/>
      <color indexed="12"/>
      <name val="Arial"/>
      <family val="2"/>
    </font>
    <font>
      <b/>
      <sz val="10"/>
      <color indexed="18"/>
      <name val="Arial"/>
      <family val="2"/>
    </font>
    <font>
      <sz val="10"/>
      <color indexed="20"/>
      <name val="Arial"/>
      <family val="0"/>
    </font>
    <font>
      <b/>
      <sz val="10"/>
      <color indexed="20"/>
      <name val="Arial"/>
      <family val="2"/>
    </font>
    <font>
      <b/>
      <sz val="9"/>
      <name val="Arial"/>
      <family val="2"/>
    </font>
    <font>
      <sz val="9"/>
      <name val="Arial"/>
      <family val="2"/>
    </font>
    <font>
      <b/>
      <i/>
      <sz val="9"/>
      <name val="Arial"/>
      <family val="2"/>
    </font>
    <font>
      <sz val="8.25"/>
      <name val="Arial"/>
      <family val="2"/>
    </font>
    <font>
      <b/>
      <sz val="8.25"/>
      <name val="Arial"/>
      <family val="2"/>
    </font>
    <font>
      <b/>
      <sz val="8"/>
      <name val="Arial"/>
      <family val="0"/>
    </font>
    <font>
      <sz val="12"/>
      <name val="Tahoma"/>
      <family val="2"/>
    </font>
    <font>
      <b/>
      <sz val="10"/>
      <color indexed="61"/>
      <name val="Arial"/>
      <family val="2"/>
    </font>
    <font>
      <sz val="10"/>
      <color indexed="61"/>
      <name val="Arial"/>
      <family val="0"/>
    </font>
    <font>
      <sz val="10"/>
      <color indexed="42"/>
      <name val="Arial"/>
      <family val="2"/>
    </font>
  </fonts>
  <fills count="9">
    <fill>
      <patternFill/>
    </fill>
    <fill>
      <patternFill patternType="gray125"/>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60">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ck"/>
      <bottom style="thick"/>
    </border>
    <border>
      <left>
        <color indexed="63"/>
      </left>
      <right style="thin"/>
      <top style="thick"/>
      <bottom style="thick"/>
    </border>
    <border>
      <left style="thick"/>
      <right style="thick"/>
      <top style="thick"/>
      <bottom style="thick"/>
    </border>
    <border>
      <left style="thick"/>
      <right style="thick"/>
      <top>
        <color indexed="63"/>
      </top>
      <bottom style="thin"/>
    </border>
    <border>
      <left style="thick"/>
      <right style="thick"/>
      <top style="thin"/>
      <bottom style="thin"/>
    </border>
    <border>
      <left style="medium"/>
      <right style="thin"/>
      <top style="medium"/>
      <bottom style="medium"/>
    </border>
    <border>
      <left style="thin"/>
      <right style="medium"/>
      <top style="medium"/>
      <bottom style="mediu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medium"/>
    </border>
    <border>
      <left style="thin"/>
      <right style="thin"/>
      <top style="medium"/>
      <bottom style="medium"/>
    </border>
    <border>
      <left style="thin"/>
      <right style="thin"/>
      <top style="thin">
        <color indexed="22"/>
      </top>
      <bottom style="thin">
        <color indexed="22"/>
      </bottom>
    </border>
    <border>
      <left style="thin"/>
      <right style="medium"/>
      <top style="thin">
        <color indexed="22"/>
      </top>
      <bottom style="thin">
        <color indexed="22"/>
      </bottom>
    </border>
    <border>
      <left style="thin"/>
      <right style="thin"/>
      <top style="thin">
        <color indexed="22"/>
      </top>
      <bottom style="medium"/>
    </border>
    <border>
      <left style="thin"/>
      <right style="medium"/>
      <top style="thin">
        <color indexed="22"/>
      </top>
      <bottom style="medium"/>
    </border>
    <border>
      <left style="thin"/>
      <right style="thin"/>
      <top style="medium"/>
      <bottom style="thin">
        <color indexed="22"/>
      </bottom>
    </border>
    <border>
      <left style="thin"/>
      <right style="medium"/>
      <top style="medium"/>
      <bottom style="thin">
        <color indexed="22"/>
      </bottom>
    </border>
    <border>
      <left style="thin"/>
      <right style="thin"/>
      <top style="thin">
        <color indexed="22"/>
      </top>
      <bottom>
        <color indexed="63"/>
      </bottom>
    </border>
    <border>
      <left style="thin"/>
      <right style="medium"/>
      <top style="thin">
        <color indexed="22"/>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color indexed="22"/>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thin">
        <color indexed="22"/>
      </bottom>
    </border>
    <border>
      <left style="thin"/>
      <right style="medium"/>
      <top>
        <color indexed="63"/>
      </top>
      <bottom style="thin">
        <color indexed="22"/>
      </bottom>
    </border>
    <border>
      <left style="medium"/>
      <right>
        <color indexed="63"/>
      </right>
      <top style="medium"/>
      <bottom style="medium"/>
    </border>
    <border>
      <left style="medium"/>
      <right>
        <color indexed="63"/>
      </right>
      <top style="medium"/>
      <bottom style="thin">
        <color indexed="22"/>
      </bottom>
    </border>
    <border>
      <left style="medium"/>
      <right>
        <color indexed="63"/>
      </right>
      <top style="thin">
        <color indexed="22"/>
      </top>
      <bottom style="thin">
        <color indexed="22"/>
      </bottom>
    </border>
    <border>
      <left style="medium"/>
      <right>
        <color indexed="63"/>
      </right>
      <top style="thin">
        <color indexed="22"/>
      </top>
      <bottom style="medium"/>
    </border>
    <border>
      <left style="medium"/>
      <right>
        <color indexed="63"/>
      </right>
      <top>
        <color indexed="63"/>
      </top>
      <bottom style="thin">
        <color indexed="22"/>
      </bottom>
    </border>
    <border>
      <left style="medium"/>
      <right style="thin"/>
      <top style="thin">
        <color indexed="22"/>
      </top>
      <bottom style="thin">
        <color indexed="22"/>
      </bottom>
    </border>
    <border>
      <left style="medium"/>
      <right style="thin"/>
      <top style="thin">
        <color indexed="22"/>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color indexed="22"/>
      </bottom>
    </border>
    <border>
      <left style="medium"/>
      <right style="thin"/>
      <top style="thin">
        <color indexed="22"/>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93">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wrapText="1"/>
    </xf>
    <xf numFmtId="0" fontId="0" fillId="0" borderId="0" xfId="0" applyFill="1" applyAlignment="1">
      <alignment/>
    </xf>
    <xf numFmtId="0" fontId="0" fillId="2" borderId="0" xfId="0" applyFill="1" applyAlignment="1">
      <alignment horizontal="center"/>
    </xf>
    <xf numFmtId="0" fontId="2" fillId="3" borderId="0" xfId="0" applyFont="1" applyFill="1" applyAlignment="1">
      <alignment horizontal="center" wrapText="1"/>
    </xf>
    <xf numFmtId="168" fontId="0" fillId="3"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xf>
    <xf numFmtId="1" fontId="0" fillId="0" borderId="0" xfId="0" applyNumberFormat="1" applyFill="1" applyAlignment="1">
      <alignment horizontal="center"/>
    </xf>
    <xf numFmtId="0" fontId="2" fillId="0" borderId="0" xfId="0" applyFont="1" applyFill="1" applyAlignment="1">
      <alignment horizontal="left"/>
    </xf>
    <xf numFmtId="0" fontId="2" fillId="4" borderId="0" xfId="0" applyFont="1" applyFill="1" applyAlignment="1">
      <alignment/>
    </xf>
    <xf numFmtId="0" fontId="0" fillId="5" borderId="0" xfId="0" applyFont="1" applyFill="1" applyAlignment="1">
      <alignment/>
    </xf>
    <xf numFmtId="0" fontId="0" fillId="5" borderId="0" xfId="0" applyFill="1" applyAlignment="1">
      <alignment/>
    </xf>
    <xf numFmtId="1" fontId="0" fillId="6" borderId="1" xfId="0" applyNumberFormat="1" applyFill="1" applyBorder="1" applyAlignment="1">
      <alignment horizontal="center" vertical="center" wrapText="1"/>
    </xf>
    <xf numFmtId="0" fontId="0" fillId="6" borderId="2" xfId="0" applyFill="1" applyBorder="1" applyAlignment="1">
      <alignment horizontal="center" vertical="center" wrapText="1"/>
    </xf>
    <xf numFmtId="1" fontId="0" fillId="6" borderId="2" xfId="0" applyNumberFormat="1" applyFill="1" applyBorder="1" applyAlignment="1">
      <alignment horizontal="center" vertical="center" wrapText="1"/>
    </xf>
    <xf numFmtId="0" fontId="0" fillId="6" borderId="3" xfId="0" applyFill="1" applyBorder="1" applyAlignment="1">
      <alignment horizontal="center" vertical="center"/>
    </xf>
    <xf numFmtId="0" fontId="2" fillId="6" borderId="4" xfId="0" applyFont="1" applyFill="1" applyBorder="1" applyAlignment="1">
      <alignment horizontal="center"/>
    </xf>
    <xf numFmtId="0" fontId="0" fillId="6" borderId="5" xfId="0" applyFill="1" applyBorder="1" applyAlignment="1">
      <alignment horizontal="center"/>
    </xf>
    <xf numFmtId="0" fontId="2" fillId="4" borderId="4" xfId="0" applyFont="1" applyFill="1" applyBorder="1" applyAlignment="1">
      <alignment horizontal="center"/>
    </xf>
    <xf numFmtId="0" fontId="0" fillId="4" borderId="5" xfId="0" applyFill="1" applyBorder="1" applyAlignment="1">
      <alignment horizontal="center"/>
    </xf>
    <xf numFmtId="0" fontId="2" fillId="7" borderId="0" xfId="0" applyFont="1" applyFill="1" applyAlignment="1">
      <alignment/>
    </xf>
    <xf numFmtId="0" fontId="0" fillId="5" borderId="0" xfId="0" applyFill="1" applyAlignment="1">
      <alignment horizontal="center"/>
    </xf>
    <xf numFmtId="0" fontId="2" fillId="6" borderId="0" xfId="0" applyFont="1" applyFill="1" applyBorder="1" applyAlignment="1">
      <alignment horizontal="center" vertical="top"/>
    </xf>
    <xf numFmtId="0" fontId="2" fillId="6" borderId="0" xfId="0" applyFont="1" applyFill="1" applyBorder="1" applyAlignment="1">
      <alignment vertical="top"/>
    </xf>
    <xf numFmtId="0" fontId="2" fillId="5" borderId="0" xfId="0" applyFont="1" applyFill="1" applyBorder="1" applyAlignment="1">
      <alignment/>
    </xf>
    <xf numFmtId="0" fontId="2" fillId="5" borderId="0" xfId="0"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2" fillId="4" borderId="0" xfId="0" applyFont="1" applyFill="1" applyBorder="1" applyAlignment="1">
      <alignment vertical="top"/>
    </xf>
    <xf numFmtId="0" fontId="0" fillId="4" borderId="0" xfId="0" applyFill="1" applyBorder="1" applyAlignment="1">
      <alignment/>
    </xf>
    <xf numFmtId="0" fontId="2" fillId="6" borderId="0" xfId="0" applyFont="1" applyFill="1" applyBorder="1" applyAlignment="1">
      <alignment/>
    </xf>
    <xf numFmtId="0" fontId="2" fillId="6" borderId="0" xfId="0" applyFont="1" applyFill="1" applyBorder="1" applyAlignment="1">
      <alignment horizontal="center"/>
    </xf>
    <xf numFmtId="0" fontId="2" fillId="4" borderId="0" xfId="0" applyFont="1" applyFill="1" applyBorder="1" applyAlignment="1">
      <alignment/>
    </xf>
    <xf numFmtId="0" fontId="11" fillId="6" borderId="0" xfId="0" applyFont="1" applyFill="1" applyBorder="1" applyAlignment="1">
      <alignment horizontal="center"/>
    </xf>
    <xf numFmtId="0" fontId="0" fillId="0" borderId="0" xfId="0" applyFill="1" applyAlignment="1">
      <alignment horizontal="left"/>
    </xf>
    <xf numFmtId="0" fontId="0" fillId="6" borderId="0" xfId="0" applyFill="1" applyBorder="1" applyAlignment="1">
      <alignment/>
    </xf>
    <xf numFmtId="0" fontId="0" fillId="5" borderId="0" xfId="0" applyFill="1" applyBorder="1" applyAlignment="1">
      <alignment/>
    </xf>
    <xf numFmtId="0" fontId="10" fillId="5" borderId="0" xfId="0" applyFont="1" applyFill="1" applyBorder="1" applyAlignment="1">
      <alignment/>
    </xf>
    <xf numFmtId="0" fontId="0" fillId="6" borderId="0" xfId="0" applyFont="1" applyFill="1" applyBorder="1" applyAlignment="1">
      <alignment/>
    </xf>
    <xf numFmtId="0" fontId="0" fillId="5" borderId="0" xfId="0" applyFont="1" applyFill="1" applyBorder="1" applyAlignment="1">
      <alignment/>
    </xf>
    <xf numFmtId="0" fontId="0" fillId="5" borderId="0" xfId="0" applyFont="1" applyFill="1" applyBorder="1" applyAlignment="1">
      <alignment horizontal="center"/>
    </xf>
    <xf numFmtId="0" fontId="0" fillId="6" borderId="0" xfId="0" applyFont="1" applyFill="1" applyBorder="1" applyAlignment="1">
      <alignment/>
    </xf>
    <xf numFmtId="0" fontId="0" fillId="5" borderId="0" xfId="0" applyFont="1" applyFill="1" applyBorder="1" applyAlignment="1">
      <alignment/>
    </xf>
    <xf numFmtId="0" fontId="8" fillId="6" borderId="0" xfId="0" applyFont="1" applyFill="1" applyBorder="1" applyAlignment="1">
      <alignment/>
    </xf>
    <xf numFmtId="0" fontId="0" fillId="0" borderId="0" xfId="0" applyFont="1" applyFill="1" applyAlignment="1">
      <alignment horizontal="left"/>
    </xf>
    <xf numFmtId="2" fontId="0" fillId="3" borderId="0" xfId="0" applyNumberFormat="1" applyFill="1" applyAlignment="1">
      <alignment horizontal="center"/>
    </xf>
    <xf numFmtId="0" fontId="0" fillId="0" borderId="0" xfId="0" applyFont="1" applyAlignment="1">
      <alignment/>
    </xf>
    <xf numFmtId="2" fontId="0" fillId="0" borderId="0" xfId="0" applyNumberFormat="1" applyBorder="1" applyAlignment="1">
      <alignment horizontal="left" wrapText="1"/>
    </xf>
    <xf numFmtId="2" fontId="0" fillId="0" borderId="0" xfId="0" applyNumberFormat="1" applyAlignment="1">
      <alignment/>
    </xf>
    <xf numFmtId="6" fontId="0" fillId="0" borderId="0" xfId="0" applyNumberFormat="1" applyAlignment="1">
      <alignment/>
    </xf>
    <xf numFmtId="0" fontId="0" fillId="6" borderId="2" xfId="0" applyFill="1" applyBorder="1" applyAlignment="1">
      <alignment horizontal="center" vertical="center"/>
    </xf>
    <xf numFmtId="0" fontId="0" fillId="5" borderId="0" xfId="0" applyFill="1" applyAlignment="1">
      <alignment horizontal="left"/>
    </xf>
    <xf numFmtId="0" fontId="11" fillId="0" borderId="0" xfId="0" applyFont="1" applyFill="1" applyAlignment="1">
      <alignment horizontal="left"/>
    </xf>
    <xf numFmtId="0" fontId="0" fillId="0" borderId="0" xfId="0" applyNumberFormat="1" applyAlignment="1">
      <alignment/>
    </xf>
    <xf numFmtId="0" fontId="6" fillId="0" borderId="0" xfId="0" applyFont="1" applyAlignment="1">
      <alignment wrapText="1"/>
    </xf>
    <xf numFmtId="0" fontId="6" fillId="0" borderId="0" xfId="0" applyFont="1" applyAlignment="1">
      <alignment/>
    </xf>
    <xf numFmtId="0" fontId="10" fillId="4" borderId="0" xfId="0" applyFont="1" applyFill="1" applyBorder="1" applyAlignment="1">
      <alignment/>
    </xf>
    <xf numFmtId="0" fontId="0" fillId="4" borderId="6" xfId="0" applyFill="1" applyBorder="1" applyAlignment="1">
      <alignment horizontal="center"/>
    </xf>
    <xf numFmtId="0" fontId="0" fillId="4" borderId="2" xfId="0"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xf>
    <xf numFmtId="0" fontId="0" fillId="6" borderId="7" xfId="0" applyFont="1" applyFill="1" applyBorder="1" applyAlignment="1">
      <alignment horizontal="left" vertical="center"/>
    </xf>
    <xf numFmtId="0" fontId="0" fillId="6"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9" xfId="0" applyFont="1" applyFill="1" applyBorder="1" applyAlignment="1">
      <alignment vertical="center"/>
    </xf>
    <xf numFmtId="0" fontId="0" fillId="6" borderId="6" xfId="0" applyFont="1" applyFill="1" applyBorder="1" applyAlignment="1">
      <alignment horizontal="left" vertical="center"/>
    </xf>
    <xf numFmtId="0" fontId="0" fillId="4" borderId="10" xfId="0" applyNumberFormat="1" applyFill="1" applyBorder="1" applyAlignment="1">
      <alignment horizontal="center"/>
    </xf>
    <xf numFmtId="0" fontId="0" fillId="0" borderId="0" xfId="0" applyAlignment="1">
      <alignment horizontal="left"/>
    </xf>
    <xf numFmtId="0" fontId="2" fillId="0" borderId="0" xfId="0" applyFont="1" applyAlignment="1">
      <alignment horizontal="right"/>
    </xf>
    <xf numFmtId="1" fontId="0" fillId="5" borderId="11" xfId="0" applyNumberFormat="1" applyFill="1" applyBorder="1" applyAlignment="1">
      <alignment horizontal="center" vertical="center" wrapText="1"/>
    </xf>
    <xf numFmtId="0" fontId="0" fillId="5" borderId="0" xfId="0" applyFill="1" applyBorder="1" applyAlignment="1">
      <alignment horizontal="center" vertical="center" wrapText="1"/>
    </xf>
    <xf numFmtId="1" fontId="0" fillId="5" borderId="0" xfId="0" applyNumberFormat="1" applyFill="1" applyBorder="1" applyAlignment="1">
      <alignment horizontal="center" vertical="center" wrapText="1"/>
    </xf>
    <xf numFmtId="0" fontId="0" fillId="5" borderId="0" xfId="0" applyFill="1" applyBorder="1" applyAlignment="1">
      <alignment horizontal="center" vertical="center"/>
    </xf>
    <xf numFmtId="0" fontId="0" fillId="5" borderId="10" xfId="0" applyFill="1" applyBorder="1" applyAlignment="1">
      <alignment horizontal="center" vertical="center"/>
    </xf>
    <xf numFmtId="0" fontId="0" fillId="5" borderId="11" xfId="0" applyFont="1" applyFill="1" applyBorder="1" applyAlignment="1">
      <alignment horizontal="left" vertical="center"/>
    </xf>
    <xf numFmtId="0" fontId="0" fillId="5" borderId="1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2" fillId="8" borderId="0" xfId="0" applyFont="1" applyFill="1" applyAlignment="1">
      <alignment horizontal="left"/>
    </xf>
    <xf numFmtId="0" fontId="0" fillId="8" borderId="0" xfId="0" applyFont="1" applyFill="1" applyAlignment="1">
      <alignment horizontal="left"/>
    </xf>
    <xf numFmtId="1" fontId="2" fillId="8" borderId="0" xfId="0" applyNumberFormat="1" applyFont="1" applyFill="1" applyAlignment="1">
      <alignment horizontal="center"/>
    </xf>
    <xf numFmtId="0" fontId="0" fillId="8" borderId="0" xfId="0" applyFill="1" applyAlignment="1">
      <alignment horizontal="center"/>
    </xf>
    <xf numFmtId="0" fontId="2" fillId="8" borderId="0" xfId="0" applyFont="1" applyFill="1" applyAlignment="1">
      <alignment horizontal="center"/>
    </xf>
    <xf numFmtId="2" fontId="0" fillId="8" borderId="0" xfId="0" applyNumberFormat="1" applyFill="1" applyAlignment="1">
      <alignment horizontal="center"/>
    </xf>
    <xf numFmtId="0" fontId="0" fillId="8" borderId="0" xfId="0" applyFill="1" applyAlignment="1">
      <alignment horizontal="left"/>
    </xf>
    <xf numFmtId="0" fontId="0" fillId="8" borderId="0" xfId="0" applyFill="1" applyAlignment="1">
      <alignment/>
    </xf>
    <xf numFmtId="1" fontId="0" fillId="5" borderId="12" xfId="0" applyNumberFormat="1" applyFill="1" applyBorder="1" applyAlignment="1">
      <alignment horizontal="center" vertical="center" wrapText="1"/>
    </xf>
    <xf numFmtId="0" fontId="0" fillId="5" borderId="13" xfId="0" applyFill="1" applyBorder="1" applyAlignment="1">
      <alignment horizontal="center" vertical="center" wrapText="1"/>
    </xf>
    <xf numFmtId="1" fontId="0" fillId="5" borderId="13" xfId="0" applyNumberFormat="1" applyFill="1" applyBorder="1" applyAlignment="1">
      <alignment horizontal="center" vertical="center" wrapText="1"/>
    </xf>
    <xf numFmtId="0" fontId="0" fillId="5" borderId="14" xfId="0" applyFill="1" applyBorder="1" applyAlignment="1">
      <alignment horizontal="center" vertical="center"/>
    </xf>
    <xf numFmtId="0" fontId="0" fillId="5" borderId="12"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4" xfId="0" applyFill="1" applyBorder="1" applyAlignment="1">
      <alignment/>
    </xf>
    <xf numFmtId="0" fontId="2" fillId="5" borderId="12" xfId="0" applyFont="1" applyFill="1" applyBorder="1" applyAlignment="1">
      <alignment horizontal="center"/>
    </xf>
    <xf numFmtId="0" fontId="2" fillId="5" borderId="13" xfId="0" applyFont="1" applyFill="1" applyBorder="1" applyAlignment="1">
      <alignment horizontal="center"/>
    </xf>
    <xf numFmtId="2" fontId="0" fillId="5" borderId="14" xfId="0" applyNumberFormat="1" applyFill="1" applyBorder="1" applyAlignment="1">
      <alignment horizontal="center"/>
    </xf>
    <xf numFmtId="1" fontId="2" fillId="6" borderId="11" xfId="0" applyNumberFormat="1" applyFont="1" applyFill="1" applyBorder="1" applyAlignment="1">
      <alignment horizontal="center"/>
    </xf>
    <xf numFmtId="1" fontId="2" fillId="6" borderId="1" xfId="0" applyNumberFormat="1" applyFont="1" applyFill="1" applyBorder="1" applyAlignment="1">
      <alignment horizontal="center"/>
    </xf>
    <xf numFmtId="1" fontId="2" fillId="4" borderId="11" xfId="0" applyNumberFormat="1" applyFont="1" applyFill="1" applyBorder="1" applyAlignment="1">
      <alignment horizontal="center"/>
    </xf>
    <xf numFmtId="1" fontId="2" fillId="4" borderId="1" xfId="0" applyNumberFormat="1" applyFont="1" applyFill="1" applyBorder="1" applyAlignment="1">
      <alignment horizontal="center"/>
    </xf>
    <xf numFmtId="0" fontId="2" fillId="6" borderId="11" xfId="0" applyFont="1" applyFill="1" applyBorder="1" applyAlignment="1">
      <alignment horizontal="center"/>
    </xf>
    <xf numFmtId="0" fontId="2" fillId="6" borderId="1" xfId="0" applyFont="1" applyFill="1" applyBorder="1" applyAlignment="1">
      <alignment horizontal="center"/>
    </xf>
    <xf numFmtId="0" fontId="2" fillId="4" borderId="11" xfId="0" applyFont="1" applyFill="1" applyBorder="1" applyAlignment="1">
      <alignment horizontal="center"/>
    </xf>
    <xf numFmtId="0" fontId="2" fillId="4" borderId="1" xfId="0" applyFont="1" applyFill="1" applyBorder="1" applyAlignment="1">
      <alignment horizontal="center"/>
    </xf>
    <xf numFmtId="1" fontId="0" fillId="4" borderId="3" xfId="0" applyNumberFormat="1" applyFont="1" applyFill="1" applyBorder="1" applyAlignment="1">
      <alignment horizontal="center"/>
    </xf>
    <xf numFmtId="2" fontId="0" fillId="5" borderId="13" xfId="0" applyNumberFormat="1" applyFill="1" applyBorder="1" applyAlignment="1">
      <alignment horizontal="center"/>
    </xf>
    <xf numFmtId="0" fontId="2" fillId="6" borderId="2" xfId="0" applyFont="1" applyFill="1" applyBorder="1" applyAlignment="1">
      <alignment horizontal="center"/>
    </xf>
    <xf numFmtId="0" fontId="2" fillId="5" borderId="4" xfId="0" applyFont="1" applyFill="1" applyBorder="1" applyAlignment="1">
      <alignment horizontal="left"/>
    </xf>
    <xf numFmtId="0" fontId="0" fillId="0" borderId="9" xfId="0" applyFill="1" applyBorder="1" applyAlignment="1">
      <alignment horizontal="left"/>
    </xf>
    <xf numFmtId="0" fontId="11" fillId="0" borderId="9" xfId="0" applyFont="1" applyFill="1" applyBorder="1" applyAlignment="1">
      <alignment horizontal="left"/>
    </xf>
    <xf numFmtId="0" fontId="20" fillId="5" borderId="12" xfId="0" applyFont="1" applyFill="1" applyBorder="1" applyAlignment="1">
      <alignment/>
    </xf>
    <xf numFmtId="1" fontId="2" fillId="5" borderId="12" xfId="0" applyNumberFormat="1" applyFont="1" applyFill="1" applyBorder="1" applyAlignment="1">
      <alignment horizontal="center"/>
    </xf>
    <xf numFmtId="0" fontId="0" fillId="0" borderId="1" xfId="0" applyNumberFormat="1" applyBorder="1" applyAlignment="1">
      <alignment/>
    </xf>
    <xf numFmtId="0" fontId="0" fillId="0" borderId="3" xfId="0" applyNumberFormat="1" applyBorder="1" applyAlignment="1">
      <alignment/>
    </xf>
    <xf numFmtId="0" fontId="2" fillId="5" borderId="12" xfId="0" applyFont="1" applyFill="1" applyBorder="1" applyAlignment="1">
      <alignment horizontal="left" indent="1"/>
    </xf>
    <xf numFmtId="0" fontId="0" fillId="4" borderId="0" xfId="0" applyNumberFormat="1" applyFill="1" applyBorder="1" applyAlignment="1">
      <alignment horizontal="center"/>
    </xf>
    <xf numFmtId="0" fontId="0" fillId="4" borderId="2" xfId="0" applyNumberFormat="1" applyFill="1" applyBorder="1" applyAlignment="1">
      <alignment horizontal="center"/>
    </xf>
    <xf numFmtId="0" fontId="0" fillId="5" borderId="13" xfId="0" applyFill="1" applyBorder="1" applyAlignment="1">
      <alignment horizontal="left"/>
    </xf>
    <xf numFmtId="0" fontId="21" fillId="5" borderId="0" xfId="0" applyFont="1" applyFill="1" applyBorder="1" applyAlignment="1">
      <alignment/>
    </xf>
    <xf numFmtId="7" fontId="0" fillId="5" borderId="10" xfId="0" applyNumberFormat="1" applyFont="1" applyFill="1" applyBorder="1" applyAlignment="1">
      <alignment horizontal="left" vertical="center"/>
    </xf>
    <xf numFmtId="0" fontId="0" fillId="5" borderId="4" xfId="0" applyFill="1" applyBorder="1" applyAlignment="1">
      <alignment horizontal="center"/>
    </xf>
    <xf numFmtId="0" fontId="0" fillId="5" borderId="4" xfId="0" applyFill="1" applyBorder="1" applyAlignment="1">
      <alignment horizontal="center" vertical="center"/>
    </xf>
    <xf numFmtId="0" fontId="0" fillId="5" borderId="11" xfId="0" applyFill="1" applyBorder="1" applyAlignment="1">
      <alignment horizontal="center"/>
    </xf>
    <xf numFmtId="0" fontId="0" fillId="5" borderId="0" xfId="0" applyFill="1" applyBorder="1" applyAlignment="1" quotePrefix="1">
      <alignment/>
    </xf>
    <xf numFmtId="0" fontId="0" fillId="5" borderId="0" xfId="0" applyFill="1" applyBorder="1" applyAlignment="1">
      <alignment horizontal="left"/>
    </xf>
    <xf numFmtId="0" fontId="2" fillId="5" borderId="11" xfId="0" applyFont="1" applyFill="1" applyBorder="1" applyAlignment="1">
      <alignment horizontal="left" indent="1"/>
    </xf>
    <xf numFmtId="0" fontId="0" fillId="4" borderId="3" xfId="0" applyNumberFormat="1" applyFill="1" applyBorder="1" applyAlignment="1">
      <alignment horizontal="center"/>
    </xf>
    <xf numFmtId="0" fontId="0" fillId="5" borderId="0" xfId="0" applyFill="1" applyBorder="1" applyAlignment="1">
      <alignment horizontal="left" indent="1"/>
    </xf>
    <xf numFmtId="0" fontId="0" fillId="5" borderId="0" xfId="0" applyFill="1" applyBorder="1" applyAlignment="1">
      <alignment horizontal="left" indent="2"/>
    </xf>
    <xf numFmtId="11" fontId="0" fillId="5" borderId="0" xfId="0" applyNumberFormat="1" applyFill="1" applyBorder="1" applyAlignment="1">
      <alignment/>
    </xf>
    <xf numFmtId="0" fontId="0" fillId="6" borderId="0" xfId="0" applyNumberFormat="1" applyFill="1" applyBorder="1" applyAlignment="1">
      <alignment horizontal="center"/>
    </xf>
    <xf numFmtId="0" fontId="0" fillId="6" borderId="2" xfId="0" applyNumberFormat="1" applyFill="1" applyBorder="1" applyAlignment="1">
      <alignment horizontal="center"/>
    </xf>
    <xf numFmtId="0" fontId="0" fillId="5" borderId="14" xfId="0" applyNumberFormat="1" applyFill="1" applyBorder="1" applyAlignment="1">
      <alignment horizontal="center"/>
    </xf>
    <xf numFmtId="0" fontId="0" fillId="6" borderId="10" xfId="0" applyNumberFormat="1" applyFill="1" applyBorder="1" applyAlignment="1">
      <alignment horizontal="center"/>
    </xf>
    <xf numFmtId="0" fontId="0" fillId="6" borderId="3" xfId="0" applyNumberFormat="1" applyFill="1" applyBorder="1" applyAlignment="1">
      <alignment horizontal="center"/>
    </xf>
    <xf numFmtId="0" fontId="0" fillId="6" borderId="11" xfId="0" applyNumberFormat="1" applyFill="1" applyBorder="1" applyAlignment="1">
      <alignment horizontal="center"/>
    </xf>
    <xf numFmtId="0" fontId="0" fillId="4" borderId="11" xfId="0" applyNumberFormat="1" applyFill="1" applyBorder="1" applyAlignment="1">
      <alignment horizontal="center"/>
    </xf>
    <xf numFmtId="0" fontId="0" fillId="4" borderId="9" xfId="0" applyNumberFormat="1" applyFill="1" applyBorder="1" applyAlignment="1">
      <alignment horizontal="center"/>
    </xf>
    <xf numFmtId="0" fontId="0" fillId="4" borderId="9" xfId="0" applyNumberFormat="1" applyFill="1" applyBorder="1" applyAlignment="1">
      <alignment/>
    </xf>
    <xf numFmtId="0" fontId="0" fillId="6" borderId="1" xfId="0" applyNumberFormat="1" applyFill="1" applyBorder="1" applyAlignment="1">
      <alignment horizontal="center"/>
    </xf>
    <xf numFmtId="0" fontId="0" fillId="4" borderId="1" xfId="0" applyNumberFormat="1" applyFill="1" applyBorder="1" applyAlignment="1">
      <alignment horizontal="center"/>
    </xf>
    <xf numFmtId="0" fontId="0" fillId="4" borderId="5" xfId="0" applyNumberFormat="1" applyFill="1" applyBorder="1" applyAlignment="1">
      <alignment horizontal="center"/>
    </xf>
    <xf numFmtId="0" fontId="0" fillId="4" borderId="5" xfId="0" applyNumberFormat="1" applyFill="1" applyBorder="1" applyAlignment="1">
      <alignment/>
    </xf>
    <xf numFmtId="0" fontId="0" fillId="4" borderId="10" xfId="0" applyNumberFormat="1" applyFont="1" applyFill="1" applyBorder="1" applyAlignment="1">
      <alignment horizontal="center"/>
    </xf>
    <xf numFmtId="0" fontId="0" fillId="7" borderId="0" xfId="0" applyNumberFormat="1" applyFill="1" applyBorder="1" applyAlignment="1">
      <alignment horizontal="center"/>
    </xf>
    <xf numFmtId="0" fontId="0" fillId="5" borderId="13" xfId="0" applyNumberFormat="1" applyFill="1" applyBorder="1" applyAlignment="1">
      <alignment horizontal="center"/>
    </xf>
    <xf numFmtId="0" fontId="0" fillId="0" borderId="0" xfId="0" applyNumberFormat="1" applyFont="1" applyAlignment="1" applyProtection="1">
      <alignment horizontal="center" vertical="center"/>
      <protection locked="0"/>
    </xf>
    <xf numFmtId="0" fontId="0" fillId="7" borderId="0" xfId="0" applyFont="1" applyFill="1" applyAlignment="1" applyProtection="1">
      <alignment horizontal="center" vertical="top"/>
      <protection locked="0"/>
    </xf>
    <xf numFmtId="0" fontId="2" fillId="5" borderId="0"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2" fillId="0" borderId="0" xfId="17" applyNumberFormat="1" applyFont="1" applyFill="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8" borderId="0" xfId="0" applyFont="1" applyFill="1" applyAlignment="1" applyProtection="1">
      <alignment horizontal="center" vertical="center"/>
      <protection locked="0"/>
    </xf>
    <xf numFmtId="49" fontId="5" fillId="0" borderId="0" xfId="0" applyNumberFormat="1" applyFont="1" applyFill="1" applyAlignment="1" applyProtection="1">
      <alignment horizontal="left" vertical="center"/>
      <protection locked="0"/>
    </xf>
    <xf numFmtId="0" fontId="0" fillId="0" borderId="0" xfId="17" applyNumberFormat="1" applyFont="1" applyFill="1" applyAlignment="1" applyProtection="1">
      <alignment horizontal="center" vertical="center" wrapText="1"/>
      <protection locked="0"/>
    </xf>
    <xf numFmtId="0" fontId="0" fillId="5" borderId="4" xfId="0" applyFont="1" applyFill="1" applyBorder="1" applyAlignment="1" quotePrefix="1">
      <alignment/>
    </xf>
    <xf numFmtId="0" fontId="0" fillId="0" borderId="0" xfId="0" applyFont="1" applyFill="1" applyAlignment="1" applyProtection="1">
      <alignment horizontal="left" vertical="center"/>
      <protection locked="0"/>
    </xf>
    <xf numFmtId="0" fontId="23" fillId="5" borderId="0" xfId="0" applyFont="1" applyFill="1" applyBorder="1" applyAlignment="1">
      <alignment/>
    </xf>
    <xf numFmtId="0" fontId="0" fillId="4" borderId="5" xfId="0" applyFont="1" applyFill="1" applyBorder="1" applyAlignment="1">
      <alignment horizontal="center" vertical="center"/>
    </xf>
    <xf numFmtId="0" fontId="0" fillId="4" borderId="10" xfId="0" applyFont="1" applyFill="1" applyBorder="1" applyAlignment="1">
      <alignment horizontal="center" vertical="center"/>
    </xf>
    <xf numFmtId="0" fontId="0" fillId="5" borderId="0" xfId="0" applyFont="1" applyFill="1" applyBorder="1" applyAlignment="1">
      <alignment horizontal="left" indent="2"/>
    </xf>
    <xf numFmtId="5" fontId="28" fillId="0" borderId="0" xfId="0" applyNumberFormat="1" applyFont="1" applyAlignment="1" applyProtection="1">
      <alignment horizontal="center" vertical="center"/>
      <protection locked="0"/>
    </xf>
    <xf numFmtId="200" fontId="28" fillId="0" borderId="0" xfId="0" applyNumberFormat="1" applyFont="1" applyAlignment="1" applyProtection="1">
      <alignment horizontal="center" vertical="center"/>
      <protection locked="0"/>
    </xf>
    <xf numFmtId="0" fontId="0" fillId="5" borderId="0" xfId="0" applyFill="1" applyBorder="1" applyAlignment="1">
      <alignment horizontal="center"/>
    </xf>
    <xf numFmtId="0" fontId="0" fillId="5" borderId="10" xfId="0" applyFill="1" applyBorder="1" applyAlignment="1">
      <alignment horizontal="center"/>
    </xf>
    <xf numFmtId="0" fontId="4" fillId="0" borderId="0" xfId="0" applyFont="1" applyAlignment="1">
      <alignment horizontal="center" vertical="center" wrapText="1"/>
    </xf>
    <xf numFmtId="1" fontId="6" fillId="0" borderId="15" xfId="0" applyNumberFormat="1" applyFont="1" applyBorder="1" applyAlignment="1">
      <alignment horizontal="left" vertical="center" wrapText="1"/>
    </xf>
    <xf numFmtId="0" fontId="6" fillId="7" borderId="0" xfId="0" applyFont="1" applyFill="1" applyAlignment="1">
      <alignment/>
    </xf>
    <xf numFmtId="0" fontId="4" fillId="7" borderId="0" xfId="0" applyFont="1" applyFill="1" applyAlignment="1">
      <alignment/>
    </xf>
    <xf numFmtId="0" fontId="6" fillId="7" borderId="0" xfId="0" applyFont="1" applyFill="1" applyAlignment="1">
      <alignment wrapText="1"/>
    </xf>
    <xf numFmtId="0" fontId="4" fillId="7" borderId="0" xfId="0" applyFont="1" applyFill="1" applyAlignment="1">
      <alignment wrapText="1"/>
    </xf>
    <xf numFmtId="0" fontId="15" fillId="7" borderId="0" xfId="0" applyFont="1" applyFill="1" applyAlignment="1">
      <alignment wrapText="1"/>
    </xf>
    <xf numFmtId="0" fontId="6" fillId="0" borderId="0" xfId="0" applyFont="1" applyAlignment="1">
      <alignment horizontal="center" vertical="center"/>
    </xf>
    <xf numFmtId="0" fontId="4" fillId="3" borderId="0" xfId="0" applyFont="1" applyFill="1" applyAlignment="1">
      <alignment horizontal="center" vertical="center" wrapText="1"/>
    </xf>
    <xf numFmtId="0" fontId="0" fillId="0" borderId="0" xfId="0" applyAlignment="1">
      <alignment horizontal="center" vertical="center"/>
    </xf>
    <xf numFmtId="0" fontId="4" fillId="7" borderId="0" xfId="0" applyFont="1" applyFill="1" applyAlignment="1">
      <alignment/>
    </xf>
    <xf numFmtId="1" fontId="6" fillId="0" borderId="5" xfId="0" applyNumberFormat="1"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18" xfId="0" applyFont="1" applyBorder="1" applyAlignment="1">
      <alignment/>
    </xf>
    <xf numFmtId="0" fontId="6" fillId="0" borderId="19"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5" borderId="0" xfId="0" applyFont="1" applyFill="1" applyAlignment="1">
      <alignment/>
    </xf>
    <xf numFmtId="0" fontId="6" fillId="5" borderId="0" xfId="0" applyFont="1" applyFill="1" applyAlignment="1">
      <alignment horizontal="center"/>
    </xf>
    <xf numFmtId="0" fontId="6" fillId="5" borderId="0" xfId="0" applyFont="1" applyFill="1" applyAlignment="1">
      <alignment wrapText="1"/>
    </xf>
    <xf numFmtId="0" fontId="6" fillId="5" borderId="0" xfId="0" applyFont="1" applyFill="1" applyAlignment="1">
      <alignment horizontal="center" vertical="center"/>
    </xf>
    <xf numFmtId="0" fontId="0" fillId="0" borderId="9" xfId="0" applyFont="1" applyFill="1" applyBorder="1" applyAlignment="1">
      <alignment horizontal="left"/>
    </xf>
    <xf numFmtId="2" fontId="0" fillId="0" borderId="0" xfId="0" applyNumberFormat="1" applyFill="1" applyAlignment="1">
      <alignment horizontal="center" vertical="center"/>
    </xf>
    <xf numFmtId="168" fontId="0" fillId="0" borderId="0" xfId="0" applyNumberFormat="1" applyFill="1" applyAlignment="1">
      <alignment horizontal="center" vertical="center"/>
    </xf>
    <xf numFmtId="0" fontId="0" fillId="7" borderId="0" xfId="0" applyFill="1" applyAlignment="1">
      <alignment/>
    </xf>
    <xf numFmtId="0" fontId="31" fillId="0" borderId="0" xfId="0" applyFont="1" applyFill="1" applyAlignment="1">
      <alignment horizontal="left"/>
    </xf>
    <xf numFmtId="0" fontId="32" fillId="6" borderId="0" xfId="0" applyFont="1" applyFill="1" applyBorder="1" applyAlignment="1">
      <alignment horizontal="center"/>
    </xf>
    <xf numFmtId="0" fontId="31" fillId="6" borderId="10" xfId="0" applyNumberFormat="1" applyFont="1" applyFill="1" applyBorder="1" applyAlignment="1">
      <alignment horizontal="center"/>
    </xf>
    <xf numFmtId="0" fontId="32" fillId="5" borderId="12" xfId="0" applyFont="1" applyFill="1" applyBorder="1" applyAlignment="1">
      <alignment horizontal="center"/>
    </xf>
    <xf numFmtId="0" fontId="32" fillId="6" borderId="11" xfId="0" applyFont="1" applyFill="1" applyBorder="1" applyAlignment="1">
      <alignment horizontal="center"/>
    </xf>
    <xf numFmtId="0" fontId="31" fillId="7" borderId="0" xfId="0" applyNumberFormat="1" applyFont="1" applyFill="1" applyBorder="1" applyAlignment="1">
      <alignment horizontal="center"/>
    </xf>
    <xf numFmtId="0" fontId="31" fillId="5" borderId="14" xfId="0" applyNumberFormat="1" applyFont="1" applyFill="1" applyBorder="1" applyAlignment="1">
      <alignment horizontal="center"/>
    </xf>
    <xf numFmtId="0" fontId="2" fillId="0" borderId="21" xfId="0" applyFont="1" applyFill="1" applyBorder="1" applyAlignment="1">
      <alignment vertical="center"/>
    </xf>
    <xf numFmtId="0" fontId="2" fillId="0" borderId="22" xfId="0" applyFont="1" applyFill="1" applyBorder="1" applyAlignment="1">
      <alignment horizontal="center" wrapText="1"/>
    </xf>
    <xf numFmtId="0" fontId="2" fillId="6" borderId="23" xfId="0" applyFont="1" applyFill="1" applyBorder="1" applyAlignment="1">
      <alignment vertical="top"/>
    </xf>
    <xf numFmtId="0" fontId="2" fillId="6" borderId="23" xfId="0" applyFont="1" applyFill="1" applyBorder="1" applyAlignment="1">
      <alignment horizontal="center" vertical="top"/>
    </xf>
    <xf numFmtId="0" fontId="5" fillId="6" borderId="24" xfId="0" applyFont="1" applyFill="1" applyBorder="1" applyAlignment="1">
      <alignment vertical="top"/>
    </xf>
    <xf numFmtId="0" fontId="0" fillId="6" borderId="24" xfId="0" applyFont="1" applyFill="1" applyBorder="1" applyAlignment="1">
      <alignment horizontal="center" vertical="top"/>
    </xf>
    <xf numFmtId="0" fontId="5" fillId="6" borderId="24" xfId="0" applyFont="1" applyFill="1" applyBorder="1" applyAlignment="1">
      <alignment/>
    </xf>
    <xf numFmtId="0" fontId="5" fillId="6" borderId="24" xfId="0" applyFont="1" applyFill="1" applyBorder="1" applyAlignment="1">
      <alignment horizontal="center"/>
    </xf>
    <xf numFmtId="0" fontId="5" fillId="6" borderId="25" xfId="0" applyFont="1" applyFill="1" applyBorder="1" applyAlignment="1">
      <alignment/>
    </xf>
    <xf numFmtId="0" fontId="5" fillId="6" borderId="25" xfId="0" applyFont="1" applyFill="1" applyBorder="1" applyAlignment="1">
      <alignment horizontal="center"/>
    </xf>
    <xf numFmtId="0" fontId="0" fillId="6" borderId="25" xfId="0" applyFont="1" applyFill="1" applyBorder="1" applyAlignment="1">
      <alignment horizontal="center" vertical="top"/>
    </xf>
    <xf numFmtId="0" fontId="2" fillId="6" borderId="24" xfId="0" applyFont="1" applyFill="1" applyBorder="1" applyAlignment="1">
      <alignment vertical="top"/>
    </xf>
    <xf numFmtId="0" fontId="2" fillId="6" borderId="24" xfId="0" applyFont="1" applyFill="1" applyBorder="1" applyAlignment="1">
      <alignment horizontal="center" vertical="top"/>
    </xf>
    <xf numFmtId="0" fontId="0" fillId="6" borderId="24" xfId="0" applyFont="1" applyFill="1" applyBorder="1" applyAlignment="1">
      <alignment vertical="top"/>
    </xf>
    <xf numFmtId="0" fontId="0" fillId="6" borderId="23" xfId="0" applyFont="1" applyFill="1" applyBorder="1" applyAlignment="1">
      <alignment vertical="top" wrapText="1"/>
    </xf>
    <xf numFmtId="0" fontId="0" fillId="6" borderId="23" xfId="0" applyFont="1" applyFill="1" applyBorder="1" applyAlignment="1">
      <alignment horizontal="center" vertical="top"/>
    </xf>
    <xf numFmtId="0" fontId="0" fillId="6" borderId="24" xfId="0" applyFont="1" applyFill="1" applyBorder="1" applyAlignment="1">
      <alignment vertical="top" wrapText="1"/>
    </xf>
    <xf numFmtId="0" fontId="0" fillId="6" borderId="25" xfId="0" applyFont="1" applyFill="1" applyBorder="1" applyAlignment="1">
      <alignment vertical="top" wrapText="1"/>
    </xf>
    <xf numFmtId="0" fontId="2" fillId="6" borderId="25" xfId="0" applyFont="1" applyFill="1" applyBorder="1" applyAlignment="1">
      <alignment horizontal="center" vertical="top"/>
    </xf>
    <xf numFmtId="0" fontId="0" fillId="6" borderId="25" xfId="0" applyFont="1" applyFill="1" applyBorder="1" applyAlignment="1">
      <alignment/>
    </xf>
    <xf numFmtId="0" fontId="0" fillId="6" borderId="25" xfId="0" applyFont="1" applyFill="1" applyBorder="1" applyAlignment="1">
      <alignment horizontal="center"/>
    </xf>
    <xf numFmtId="0" fontId="2" fillId="4" borderId="23" xfId="0" applyFont="1" applyFill="1" applyBorder="1" applyAlignment="1">
      <alignment vertical="top"/>
    </xf>
    <xf numFmtId="0" fontId="2" fillId="4" borderId="23" xfId="0" applyFont="1" applyFill="1" applyBorder="1" applyAlignment="1">
      <alignment horizontal="center" vertical="top"/>
    </xf>
    <xf numFmtId="0" fontId="5" fillId="4" borderId="24" xfId="0" applyFont="1" applyFill="1" applyBorder="1" applyAlignment="1">
      <alignment vertical="top"/>
    </xf>
    <xf numFmtId="0" fontId="0" fillId="4" borderId="24" xfId="0" applyFont="1" applyFill="1" applyBorder="1" applyAlignment="1">
      <alignment horizontal="center" vertical="top"/>
    </xf>
    <xf numFmtId="0" fontId="5" fillId="4" borderId="24" xfId="0" applyFont="1" applyFill="1" applyBorder="1" applyAlignment="1">
      <alignment/>
    </xf>
    <xf numFmtId="0" fontId="5" fillId="4" borderId="24" xfId="0" applyFont="1" applyFill="1" applyBorder="1" applyAlignment="1">
      <alignment horizontal="center"/>
    </xf>
    <xf numFmtId="0" fontId="5" fillId="4" borderId="25" xfId="0" applyFont="1" applyFill="1" applyBorder="1" applyAlignment="1">
      <alignment/>
    </xf>
    <xf numFmtId="0" fontId="5" fillId="4" borderId="25" xfId="0" applyFont="1" applyFill="1" applyBorder="1" applyAlignment="1">
      <alignment horizontal="center"/>
    </xf>
    <xf numFmtId="0" fontId="0" fillId="4" borderId="25" xfId="0" applyFont="1" applyFill="1" applyBorder="1" applyAlignment="1">
      <alignment horizontal="center" vertical="top"/>
    </xf>
    <xf numFmtId="0" fontId="2" fillId="4" borderId="24" xfId="0" applyFont="1" applyFill="1" applyBorder="1" applyAlignment="1">
      <alignment horizontal="center" vertical="top"/>
    </xf>
    <xf numFmtId="0" fontId="0" fillId="6" borderId="24" xfId="0" applyFill="1" applyBorder="1" applyAlignment="1">
      <alignment/>
    </xf>
    <xf numFmtId="0" fontId="0" fillId="6" borderId="24" xfId="0" applyFill="1" applyBorder="1" applyAlignment="1">
      <alignment horizontal="center"/>
    </xf>
    <xf numFmtId="0" fontId="2" fillId="4" borderId="24" xfId="0" applyFont="1" applyFill="1" applyBorder="1" applyAlignment="1">
      <alignment/>
    </xf>
    <xf numFmtId="0" fontId="2" fillId="4" borderId="24" xfId="0" applyFont="1" applyFill="1" applyBorder="1" applyAlignment="1">
      <alignment horizontal="center"/>
    </xf>
    <xf numFmtId="0" fontId="0" fillId="4" borderId="24" xfId="0" applyFont="1" applyFill="1" applyBorder="1" applyAlignment="1">
      <alignment/>
    </xf>
    <xf numFmtId="0" fontId="0" fillId="4" borderId="24" xfId="0" applyFont="1" applyFill="1" applyBorder="1" applyAlignment="1">
      <alignment horizontal="center"/>
    </xf>
    <xf numFmtId="0" fontId="0" fillId="4" borderId="24" xfId="0" applyFill="1" applyBorder="1" applyAlignment="1">
      <alignment/>
    </xf>
    <xf numFmtId="0" fontId="2" fillId="6" borderId="24" xfId="0" applyFont="1" applyFill="1" applyBorder="1" applyAlignment="1">
      <alignment/>
    </xf>
    <xf numFmtId="0" fontId="2" fillId="6" borderId="24" xfId="0" applyFont="1" applyFill="1" applyBorder="1" applyAlignment="1">
      <alignment horizontal="center"/>
    </xf>
    <xf numFmtId="0" fontId="0" fillId="6" borderId="24" xfId="0" applyFont="1" applyFill="1" applyBorder="1" applyAlignment="1">
      <alignment/>
    </xf>
    <xf numFmtId="0" fontId="0" fillId="6" borderId="24" xfId="0" applyFont="1" applyFill="1" applyBorder="1" applyAlignment="1">
      <alignment horizontal="center"/>
    </xf>
    <xf numFmtId="0" fontId="5" fillId="6" borderId="24" xfId="0" applyFont="1" applyFill="1" applyBorder="1" applyAlignment="1">
      <alignment/>
    </xf>
    <xf numFmtId="0" fontId="5" fillId="6" borderId="24" xfId="0" applyFont="1" applyFill="1" applyBorder="1" applyAlignment="1">
      <alignment horizontal="center"/>
    </xf>
    <xf numFmtId="0" fontId="5" fillId="4" borderId="24" xfId="0" applyFont="1" applyFill="1" applyBorder="1" applyAlignment="1" quotePrefix="1">
      <alignment/>
    </xf>
    <xf numFmtId="0" fontId="5" fillId="4" borderId="24" xfId="0" applyFont="1" applyFill="1" applyBorder="1" applyAlignment="1" quotePrefix="1">
      <alignment horizontal="center"/>
    </xf>
    <xf numFmtId="0" fontId="5" fillId="4" borderId="24" xfId="0" applyFont="1" applyFill="1" applyBorder="1" applyAlignment="1">
      <alignment/>
    </xf>
    <xf numFmtId="0" fontId="0" fillId="4" borderId="24" xfId="0" applyFill="1" applyBorder="1" applyAlignment="1">
      <alignment horizontal="center"/>
    </xf>
    <xf numFmtId="0" fontId="5" fillId="4" borderId="25" xfId="0" applyFont="1" applyFill="1" applyBorder="1" applyAlignment="1">
      <alignment/>
    </xf>
    <xf numFmtId="0" fontId="0" fillId="4" borderId="25" xfId="0" applyFill="1" applyBorder="1" applyAlignment="1">
      <alignment horizontal="center"/>
    </xf>
    <xf numFmtId="0" fontId="30" fillId="7" borderId="0" xfId="0" applyFont="1" applyFill="1" applyAlignment="1">
      <alignment/>
    </xf>
    <xf numFmtId="0" fontId="0" fillId="0" borderId="0" xfId="0" applyBorder="1" applyAlignment="1">
      <alignment/>
    </xf>
    <xf numFmtId="0" fontId="0" fillId="0" borderId="0" xfId="0" applyFill="1" applyBorder="1" applyAlignment="1">
      <alignment/>
    </xf>
    <xf numFmtId="201" fontId="0" fillId="0" borderId="0" xfId="0" applyNumberFormat="1" applyFill="1" applyBorder="1" applyAlignment="1">
      <alignment/>
    </xf>
    <xf numFmtId="169" fontId="0" fillId="5" borderId="0" xfId="0" applyNumberFormat="1" applyFill="1" applyAlignment="1">
      <alignment/>
    </xf>
    <xf numFmtId="0" fontId="31" fillId="0" borderId="0" xfId="0" applyFont="1" applyFill="1" applyBorder="1" applyAlignment="1">
      <alignment horizontal="left"/>
    </xf>
    <xf numFmtId="0" fontId="5" fillId="4" borderId="24" xfId="0" applyFont="1" applyFill="1" applyBorder="1" applyAlignment="1">
      <alignment horizontal="center" vertical="top"/>
    </xf>
    <xf numFmtId="7" fontId="0" fillId="5" borderId="0" xfId="0" applyNumberFormat="1" applyFill="1" applyAlignment="1">
      <alignment/>
    </xf>
    <xf numFmtId="0" fontId="0" fillId="5" borderId="0" xfId="0" applyFill="1" applyBorder="1" applyAlignment="1">
      <alignment/>
    </xf>
    <xf numFmtId="0" fontId="0" fillId="5" borderId="0" xfId="0" applyFont="1" applyFill="1" applyBorder="1" applyAlignment="1">
      <alignment horizontal="left" indent="2"/>
    </xf>
    <xf numFmtId="0" fontId="6" fillId="0" borderId="0" xfId="0" applyFont="1" applyFill="1" applyAlignment="1">
      <alignment/>
    </xf>
    <xf numFmtId="1" fontId="32" fillId="5" borderId="12" xfId="0" applyNumberFormat="1" applyFont="1" applyFill="1" applyBorder="1" applyAlignment="1">
      <alignment horizontal="center"/>
    </xf>
    <xf numFmtId="0" fontId="31" fillId="5" borderId="14" xfId="0" applyNumberFormat="1" applyFont="1" applyFill="1" applyBorder="1" applyAlignment="1">
      <alignment horizontal="center"/>
    </xf>
    <xf numFmtId="1" fontId="32" fillId="6" borderId="11" xfId="0" applyNumberFormat="1" applyFont="1" applyFill="1" applyBorder="1" applyAlignment="1">
      <alignment horizontal="center"/>
    </xf>
    <xf numFmtId="1" fontId="32" fillId="6" borderId="1" xfId="0" applyNumberFormat="1" applyFont="1" applyFill="1" applyBorder="1" applyAlignment="1">
      <alignment horizontal="center"/>
    </xf>
    <xf numFmtId="0" fontId="0" fillId="5" borderId="0" xfId="0" applyFont="1" applyFill="1" applyAlignment="1">
      <alignment wrapText="1"/>
    </xf>
    <xf numFmtId="0" fontId="0" fillId="5" borderId="26" xfId="0" applyFont="1" applyFill="1" applyBorder="1" applyAlignment="1">
      <alignment/>
    </xf>
    <xf numFmtId="0" fontId="2" fillId="7" borderId="4" xfId="0" applyFont="1" applyFill="1" applyBorder="1" applyAlignment="1">
      <alignment horizontal="center" textRotation="45" wrapText="1"/>
    </xf>
    <xf numFmtId="0" fontId="34" fillId="0" borderId="27" xfId="0" applyFont="1" applyBorder="1" applyAlignment="1">
      <alignment horizontal="center" wrapText="1"/>
    </xf>
    <xf numFmtId="0" fontId="34" fillId="0" borderId="22" xfId="0" applyFont="1" applyBorder="1" applyAlignment="1">
      <alignment horizontal="center" wrapText="1"/>
    </xf>
    <xf numFmtId="0" fontId="0" fillId="5" borderId="0" xfId="0" applyFont="1" applyFill="1" applyAlignment="1">
      <alignment horizontal="left"/>
    </xf>
    <xf numFmtId="169" fontId="34" fillId="0" borderId="28" xfId="0" applyNumberFormat="1" applyFont="1" applyBorder="1" applyAlignment="1">
      <alignment horizontal="center" vertical="center" wrapText="1"/>
    </xf>
    <xf numFmtId="169" fontId="34" fillId="0" borderId="29" xfId="0" applyNumberFormat="1" applyFont="1" applyBorder="1" applyAlignment="1">
      <alignment horizontal="center" vertical="center" wrapText="1"/>
    </xf>
    <xf numFmtId="169" fontId="34" fillId="0" borderId="30" xfId="0" applyNumberFormat="1" applyFont="1" applyBorder="1" applyAlignment="1">
      <alignment horizontal="center" vertical="center" wrapText="1"/>
    </xf>
    <xf numFmtId="169" fontId="34" fillId="0" borderId="31" xfId="0" applyNumberFormat="1" applyFont="1" applyBorder="1" applyAlignment="1">
      <alignment horizontal="center" vertical="center" wrapText="1"/>
    </xf>
    <xf numFmtId="0" fontId="34" fillId="5" borderId="32" xfId="0" applyFont="1" applyFill="1" applyBorder="1" applyAlignment="1">
      <alignment horizontal="center" wrapText="1"/>
    </xf>
    <xf numFmtId="0" fontId="34" fillId="5" borderId="33" xfId="0" applyFont="1" applyFill="1" applyBorder="1" applyAlignment="1">
      <alignment horizont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28" xfId="0" applyFont="1" applyBorder="1" applyAlignment="1">
      <alignment horizontal="center" wrapText="1"/>
    </xf>
    <xf numFmtId="0" fontId="34" fillId="0" borderId="29" xfId="0" applyFont="1" applyBorder="1" applyAlignment="1">
      <alignment horizontal="center" wrapText="1"/>
    </xf>
    <xf numFmtId="0" fontId="4" fillId="7" borderId="36" xfId="0" applyFont="1" applyFill="1" applyBorder="1" applyAlignment="1">
      <alignment horizontal="left"/>
    </xf>
    <xf numFmtId="0" fontId="4" fillId="7" borderId="37" xfId="0" applyFont="1" applyFill="1" applyBorder="1" applyAlignment="1">
      <alignment horizontal="left"/>
    </xf>
    <xf numFmtId="0" fontId="4" fillId="7" borderId="38"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39" xfId="0" applyBorder="1" applyAlignment="1">
      <alignment/>
    </xf>
    <xf numFmtId="0" fontId="0" fillId="0" borderId="40" xfId="0" applyBorder="1" applyAlignment="1">
      <alignment/>
    </xf>
    <xf numFmtId="0" fontId="2" fillId="5" borderId="39" xfId="0" applyFont="1" applyFill="1" applyBorder="1" applyAlignment="1">
      <alignment/>
    </xf>
    <xf numFmtId="0" fontId="0" fillId="5" borderId="40" xfId="0" applyFill="1" applyBorder="1" applyAlignment="1">
      <alignment/>
    </xf>
    <xf numFmtId="0" fontId="0" fillId="0" borderId="39" xfId="0" applyBorder="1" applyAlignment="1">
      <alignment horizontal="left" vertical="center" indent="1"/>
    </xf>
    <xf numFmtId="0" fontId="9" fillId="0" borderId="0" xfId="0" applyFont="1" applyBorder="1" applyAlignment="1" applyProtection="1">
      <alignment horizontal="center" vertical="center"/>
      <protection locked="0"/>
    </xf>
    <xf numFmtId="0" fontId="0" fillId="0" borderId="40" xfId="0" applyFill="1" applyBorder="1" applyAlignment="1" applyProtection="1">
      <alignment/>
      <protection locked="0"/>
    </xf>
    <xf numFmtId="0" fontId="0" fillId="0" borderId="40" xfId="0" applyFill="1" applyBorder="1" applyAlignment="1" applyProtection="1">
      <alignment vertical="center"/>
      <protection locked="0"/>
    </xf>
    <xf numFmtId="0" fontId="0" fillId="0" borderId="39" xfId="0" applyBorder="1" applyAlignment="1">
      <alignment horizontal="left" vertical="center" wrapText="1" indent="1"/>
    </xf>
    <xf numFmtId="0" fontId="0" fillId="0" borderId="41" xfId="0" applyBorder="1" applyAlignment="1">
      <alignment horizontal="left" vertical="center" wrapText="1" indent="1"/>
    </xf>
    <xf numFmtId="0" fontId="9" fillId="0" borderId="26" xfId="0" applyFont="1" applyBorder="1" applyAlignment="1" applyProtection="1">
      <alignment horizontal="center" vertical="center"/>
      <protection locked="0"/>
    </xf>
    <xf numFmtId="0" fontId="0" fillId="0" borderId="42" xfId="0" applyFill="1" applyBorder="1" applyAlignment="1" applyProtection="1">
      <alignment/>
      <protection locked="0"/>
    </xf>
    <xf numFmtId="0" fontId="0" fillId="0" borderId="32" xfId="0" applyFont="1" applyFill="1" applyBorder="1" applyAlignment="1">
      <alignment vertical="top" wrapText="1"/>
    </xf>
    <xf numFmtId="0" fontId="0" fillId="0" borderId="28" xfId="0" applyFont="1" applyFill="1" applyBorder="1" applyAlignment="1">
      <alignment vertical="top" wrapText="1"/>
    </xf>
    <xf numFmtId="0" fontId="0" fillId="0" borderId="43" xfId="0" applyFont="1" applyFill="1" applyBorder="1" applyAlignment="1">
      <alignment vertical="top" wrapText="1"/>
    </xf>
    <xf numFmtId="0" fontId="34" fillId="5" borderId="0" xfId="0" applyFont="1" applyFill="1" applyAlignment="1">
      <alignment/>
    </xf>
    <xf numFmtId="0" fontId="0" fillId="0" borderId="0" xfId="0" applyAlignment="1">
      <alignment vertical="center"/>
    </xf>
    <xf numFmtId="0" fontId="34" fillId="0" borderId="0" xfId="0" applyFont="1" applyFill="1" applyAlignment="1" applyProtection="1">
      <alignment vertical="center" wrapText="1"/>
      <protection locked="0"/>
    </xf>
    <xf numFmtId="0" fontId="0" fillId="5" borderId="0" xfId="0" applyFill="1" applyAlignment="1">
      <alignment vertical="center"/>
    </xf>
    <xf numFmtId="0" fontId="34" fillId="0" borderId="2" xfId="0" applyFont="1" applyFill="1" applyBorder="1" applyAlignment="1" applyProtection="1">
      <alignment vertical="center" wrapText="1"/>
      <protection locked="0"/>
    </xf>
    <xf numFmtId="0" fontId="34" fillId="0" borderId="13" xfId="0" applyFont="1" applyFill="1" applyBorder="1" applyAlignment="1">
      <alignment vertical="center"/>
    </xf>
    <xf numFmtId="0" fontId="34" fillId="0" borderId="13" xfId="0" applyFont="1" applyFill="1" applyBorder="1" applyAlignment="1">
      <alignment horizontal="left" vertical="center"/>
    </xf>
    <xf numFmtId="0" fontId="0" fillId="4" borderId="24" xfId="0" applyFont="1" applyFill="1" applyBorder="1" applyAlignment="1">
      <alignment horizontal="center"/>
    </xf>
    <xf numFmtId="0" fontId="0" fillId="4" borderId="24" xfId="0" applyFont="1" applyFill="1" applyBorder="1" applyAlignment="1">
      <alignment/>
    </xf>
    <xf numFmtId="0" fontId="0" fillId="4" borderId="25" xfId="0" applyFont="1" applyFill="1" applyBorder="1" applyAlignment="1">
      <alignment horizontal="center"/>
    </xf>
    <xf numFmtId="0" fontId="0" fillId="0" borderId="0" xfId="0" applyAlignment="1" applyProtection="1">
      <alignment/>
      <protection locked="0"/>
    </xf>
    <xf numFmtId="0" fontId="6" fillId="3" borderId="5"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0" fillId="3" borderId="0" xfId="0" applyFont="1" applyFill="1" applyBorder="1" applyAlignment="1">
      <alignment horizontal="center" vertical="top"/>
    </xf>
    <xf numFmtId="1" fontId="0" fillId="6" borderId="11" xfId="0" applyNumberFormat="1" applyFill="1" applyBorder="1" applyAlignment="1">
      <alignment horizontal="center"/>
    </xf>
    <xf numFmtId="1" fontId="0" fillId="6" borderId="0" xfId="0" applyNumberFormat="1" applyFill="1" applyBorder="1" applyAlignment="1">
      <alignment horizontal="center"/>
    </xf>
    <xf numFmtId="1" fontId="0" fillId="6" borderId="10" xfId="0" applyNumberFormat="1" applyFill="1" applyBorder="1" applyAlignment="1">
      <alignment horizontal="center"/>
    </xf>
    <xf numFmtId="1" fontId="0" fillId="4" borderId="0" xfId="0" applyNumberFormat="1" applyFill="1" applyBorder="1" applyAlignment="1">
      <alignment horizontal="center"/>
    </xf>
    <xf numFmtId="0" fontId="0" fillId="4" borderId="9" xfId="0" applyFill="1" applyBorder="1" applyAlignment="1">
      <alignment horizontal="center" vertical="center"/>
    </xf>
    <xf numFmtId="0" fontId="0" fillId="6" borderId="9" xfId="0" applyFont="1" applyFill="1" applyBorder="1" applyAlignment="1">
      <alignment horizontal="center" vertical="center"/>
    </xf>
    <xf numFmtId="169" fontId="0" fillId="4" borderId="9" xfId="21" applyNumberFormat="1" applyFill="1" applyBorder="1" applyAlignment="1">
      <alignment horizontal="right" vertical="center"/>
    </xf>
    <xf numFmtId="10" fontId="0" fillId="4" borderId="9" xfId="0" applyNumberForma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NumberFormat="1" applyFont="1" applyFill="1" applyBorder="1" applyAlignment="1">
      <alignment horizontal="center"/>
    </xf>
    <xf numFmtId="0" fontId="0" fillId="4" borderId="10" xfId="0" applyFont="1" applyFill="1" applyBorder="1" applyAlignment="1">
      <alignment horizontal="center"/>
    </xf>
    <xf numFmtId="0" fontId="0" fillId="4" borderId="10" xfId="0" applyFill="1" applyBorder="1" applyAlignment="1">
      <alignment horizontal="center"/>
    </xf>
    <xf numFmtId="0" fontId="0" fillId="4" borderId="10" xfId="0" applyFill="1" applyBorder="1" applyAlignment="1">
      <alignment/>
    </xf>
    <xf numFmtId="1" fontId="0" fillId="6" borderId="1" xfId="0" applyNumberFormat="1" applyFill="1" applyBorder="1" applyAlignment="1">
      <alignment horizontal="center"/>
    </xf>
    <xf numFmtId="1" fontId="0" fillId="6" borderId="2" xfId="0" applyNumberFormat="1" applyFill="1" applyBorder="1" applyAlignment="1">
      <alignment horizontal="center"/>
    </xf>
    <xf numFmtId="1" fontId="0" fillId="6" borderId="3" xfId="0" applyNumberFormat="1" applyFill="1" applyBorder="1" applyAlignment="1">
      <alignment horizontal="center"/>
    </xf>
    <xf numFmtId="1" fontId="0" fillId="4" borderId="2" xfId="0" applyNumberFormat="1" applyFill="1" applyBorder="1" applyAlignment="1">
      <alignment horizontal="center"/>
    </xf>
    <xf numFmtId="0" fontId="0" fillId="4" borderId="5" xfId="0" applyFill="1" applyBorder="1" applyAlignment="1">
      <alignment horizontal="center" vertical="center"/>
    </xf>
    <xf numFmtId="0" fontId="0" fillId="6" borderId="5" xfId="0" applyFont="1" applyFill="1" applyBorder="1" applyAlignment="1">
      <alignment horizontal="center" vertical="center"/>
    </xf>
    <xf numFmtId="169" fontId="0" fillId="4" borderId="5" xfId="21" applyNumberFormat="1" applyFill="1" applyBorder="1" applyAlignment="1">
      <alignment horizontal="right" vertical="center"/>
    </xf>
    <xf numFmtId="0" fontId="0" fillId="4" borderId="3" xfId="0" applyFill="1" applyBorder="1" applyAlignment="1">
      <alignment/>
    </xf>
    <xf numFmtId="0" fontId="0" fillId="0" borderId="0" xfId="0" applyAlignment="1" applyProtection="1">
      <alignment wrapText="1"/>
      <protection locked="0"/>
    </xf>
    <xf numFmtId="0" fontId="34" fillId="5" borderId="44" xfId="0" applyFont="1" applyFill="1" applyBorder="1" applyAlignment="1">
      <alignment horizontal="center" vertical="center" wrapText="1"/>
    </xf>
    <xf numFmtId="0" fontId="34" fillId="5" borderId="45" xfId="0" applyFont="1" applyFill="1" applyBorder="1" applyAlignment="1">
      <alignment horizontal="center" vertical="center" wrapText="1"/>
    </xf>
    <xf numFmtId="0" fontId="0" fillId="5" borderId="37" xfId="0" applyFont="1" applyFill="1" applyBorder="1" applyAlignment="1">
      <alignment/>
    </xf>
    <xf numFmtId="0" fontId="0" fillId="6" borderId="0" xfId="0" applyFont="1" applyFill="1" applyBorder="1" applyAlignment="1">
      <alignment horizontal="center" vertical="top"/>
    </xf>
    <xf numFmtId="0" fontId="31" fillId="6" borderId="10" xfId="0" applyFont="1" applyFill="1" applyBorder="1" applyAlignment="1">
      <alignment horizontal="center"/>
    </xf>
    <xf numFmtId="0" fontId="22" fillId="7" borderId="0" xfId="0" applyFont="1" applyFill="1" applyAlignment="1">
      <alignment/>
    </xf>
    <xf numFmtId="1" fontId="40" fillId="5" borderId="12" xfId="0" applyNumberFormat="1" applyFont="1" applyFill="1" applyBorder="1" applyAlignment="1">
      <alignment horizontal="center"/>
    </xf>
    <xf numFmtId="0" fontId="40" fillId="6" borderId="11" xfId="0" applyFont="1" applyFill="1" applyBorder="1" applyAlignment="1">
      <alignment horizontal="center"/>
    </xf>
    <xf numFmtId="0" fontId="40" fillId="6" borderId="1" xfId="0" applyFont="1" applyFill="1" applyBorder="1" applyAlignment="1">
      <alignment horizontal="center"/>
    </xf>
    <xf numFmtId="0" fontId="41" fillId="5" borderId="14" xfId="0" applyNumberFormat="1" applyFont="1" applyFill="1" applyBorder="1" applyAlignment="1">
      <alignment horizontal="center"/>
    </xf>
    <xf numFmtId="0" fontId="41" fillId="6" borderId="10" xfId="0" applyNumberFormat="1" applyFont="1" applyFill="1" applyBorder="1" applyAlignment="1">
      <alignment horizontal="center"/>
    </xf>
    <xf numFmtId="0" fontId="41" fillId="0" borderId="0" xfId="0" applyFont="1" applyAlignment="1">
      <alignment/>
    </xf>
    <xf numFmtId="0" fontId="41" fillId="0" borderId="0" xfId="0" applyFont="1" applyFill="1" applyAlignment="1">
      <alignment horizontal="center"/>
    </xf>
    <xf numFmtId="0" fontId="40" fillId="5" borderId="12" xfId="0" applyFont="1" applyFill="1" applyBorder="1" applyAlignment="1">
      <alignment horizontal="center"/>
    </xf>
    <xf numFmtId="0" fontId="41" fillId="5" borderId="14" xfId="0" applyNumberFormat="1" applyFont="1" applyFill="1" applyBorder="1" applyAlignment="1">
      <alignment horizontal="center"/>
    </xf>
    <xf numFmtId="0" fontId="41" fillId="6" borderId="10" xfId="0" applyNumberFormat="1" applyFont="1" applyFill="1" applyBorder="1" applyAlignment="1">
      <alignment horizontal="center"/>
    </xf>
    <xf numFmtId="168" fontId="31" fillId="6" borderId="10" xfId="0" applyNumberFormat="1" applyFont="1" applyFill="1" applyBorder="1" applyAlignment="1">
      <alignment horizontal="center"/>
    </xf>
    <xf numFmtId="0" fontId="31" fillId="6" borderId="10" xfId="0" applyNumberFormat="1" applyFont="1" applyFill="1" applyBorder="1" applyAlignment="1">
      <alignment horizontal="center"/>
    </xf>
    <xf numFmtId="0" fontId="32" fillId="6" borderId="11" xfId="0" applyFont="1" applyFill="1" applyBorder="1" applyAlignment="1">
      <alignment horizontal="left"/>
    </xf>
    <xf numFmtId="1" fontId="2" fillId="6" borderId="11" xfId="0" applyNumberFormat="1" applyFont="1" applyFill="1" applyBorder="1" applyAlignment="1">
      <alignment horizontal="left"/>
    </xf>
    <xf numFmtId="1" fontId="2" fillId="4" borderId="11" xfId="0" applyNumberFormat="1" applyFont="1" applyFill="1" applyBorder="1" applyAlignment="1">
      <alignment horizontal="left"/>
    </xf>
    <xf numFmtId="0" fontId="2" fillId="6" borderId="11" xfId="0" applyFont="1" applyFill="1" applyBorder="1" applyAlignment="1">
      <alignment horizontal="left"/>
    </xf>
    <xf numFmtId="0" fontId="2" fillId="4" borderId="11" xfId="0" applyFont="1" applyFill="1" applyBorder="1" applyAlignment="1">
      <alignment horizontal="left"/>
    </xf>
    <xf numFmtId="0" fontId="32" fillId="6" borderId="1" xfId="0" applyFont="1" applyFill="1" applyBorder="1" applyAlignment="1">
      <alignment horizontal="center"/>
    </xf>
    <xf numFmtId="0" fontId="31" fillId="6" borderId="3" xfId="0" applyNumberFormat="1" applyFont="1" applyFill="1" applyBorder="1" applyAlignment="1">
      <alignment horizontal="center"/>
    </xf>
    <xf numFmtId="2" fontId="0" fillId="5" borderId="14" xfId="0" applyNumberFormat="1" applyFont="1" applyFill="1" applyBorder="1" applyAlignment="1">
      <alignment horizontal="center"/>
    </xf>
    <xf numFmtId="1" fontId="32" fillId="6" borderId="11" xfId="0" applyNumberFormat="1" applyFont="1" applyFill="1" applyBorder="1" applyAlignment="1">
      <alignment horizontal="left"/>
    </xf>
    <xf numFmtId="0" fontId="32" fillId="6" borderId="12" xfId="0" applyFont="1" applyFill="1" applyBorder="1" applyAlignment="1">
      <alignment horizontal="left"/>
    </xf>
    <xf numFmtId="0" fontId="31" fillId="6" borderId="14" xfId="0" applyFont="1" applyFill="1" applyBorder="1" applyAlignment="1">
      <alignment horizontal="center"/>
    </xf>
    <xf numFmtId="0" fontId="32" fillId="6" borderId="1" xfId="0" applyFont="1" applyFill="1" applyBorder="1" applyAlignment="1">
      <alignment horizontal="left"/>
    </xf>
    <xf numFmtId="0" fontId="31" fillId="6" borderId="3" xfId="0" applyFont="1" applyFill="1" applyBorder="1" applyAlignment="1">
      <alignment horizontal="center"/>
    </xf>
    <xf numFmtId="0" fontId="32" fillId="6" borderId="12" xfId="0" applyFont="1" applyFill="1" applyBorder="1" applyAlignment="1">
      <alignment horizontal="center"/>
    </xf>
    <xf numFmtId="0" fontId="31" fillId="6" borderId="14" xfId="0" applyNumberFormat="1" applyFont="1" applyFill="1" applyBorder="1" applyAlignment="1">
      <alignment horizontal="center"/>
    </xf>
    <xf numFmtId="168" fontId="31" fillId="6" borderId="14" xfId="0" applyNumberFormat="1" applyFont="1" applyFill="1" applyBorder="1" applyAlignment="1">
      <alignment horizontal="center"/>
    </xf>
    <xf numFmtId="0" fontId="31" fillId="6" borderId="3" xfId="0" applyNumberFormat="1" applyFont="1" applyFill="1" applyBorder="1" applyAlignment="1">
      <alignment horizontal="center"/>
    </xf>
    <xf numFmtId="0" fontId="32" fillId="7" borderId="11" xfId="0" applyFont="1" applyFill="1" applyBorder="1" applyAlignment="1">
      <alignment horizontal="left"/>
    </xf>
    <xf numFmtId="0" fontId="32" fillId="7" borderId="11" xfId="0" applyFont="1" applyFill="1" applyBorder="1" applyAlignment="1">
      <alignment horizontal="center"/>
    </xf>
    <xf numFmtId="0" fontId="32" fillId="6" borderId="2" xfId="0" applyFont="1" applyFill="1" applyBorder="1" applyAlignment="1">
      <alignment horizontal="center"/>
    </xf>
    <xf numFmtId="0" fontId="32" fillId="7" borderId="1" xfId="0" applyFont="1" applyFill="1" applyBorder="1" applyAlignment="1">
      <alignment horizontal="center"/>
    </xf>
    <xf numFmtId="0" fontId="32" fillId="5" borderId="0" xfId="0" applyFont="1" applyFill="1" applyAlignment="1">
      <alignment/>
    </xf>
    <xf numFmtId="0" fontId="2" fillId="7" borderId="11" xfId="0" applyFont="1" applyFill="1" applyBorder="1" applyAlignment="1">
      <alignment horizontal="left"/>
    </xf>
    <xf numFmtId="0" fontId="2" fillId="7" borderId="11" xfId="0" applyFont="1" applyFill="1" applyBorder="1" applyAlignment="1">
      <alignment horizontal="center"/>
    </xf>
    <xf numFmtId="0" fontId="2" fillId="7" borderId="1" xfId="0" applyFont="1" applyFill="1" applyBorder="1" applyAlignment="1">
      <alignment horizontal="center"/>
    </xf>
    <xf numFmtId="0" fontId="0" fillId="5" borderId="14" xfId="0" applyNumberFormat="1" applyFont="1" applyFill="1" applyBorder="1" applyAlignment="1">
      <alignment horizontal="center"/>
    </xf>
    <xf numFmtId="0" fontId="31" fillId="5" borderId="0" xfId="0" applyFont="1" applyFill="1" applyBorder="1" applyAlignment="1">
      <alignment/>
    </xf>
    <xf numFmtId="0" fontId="31" fillId="0" borderId="0" xfId="0" applyFont="1" applyFill="1" applyBorder="1" applyAlignment="1">
      <alignment/>
    </xf>
    <xf numFmtId="1" fontId="32" fillId="5" borderId="12" xfId="0" applyNumberFormat="1" applyFont="1" applyFill="1" applyBorder="1" applyAlignment="1">
      <alignment horizontal="left"/>
    </xf>
    <xf numFmtId="0" fontId="0" fillId="5" borderId="14" xfId="0" applyFill="1" applyBorder="1" applyAlignment="1">
      <alignment horizontal="left"/>
    </xf>
    <xf numFmtId="0" fontId="31" fillId="7" borderId="10" xfId="0" applyNumberFormat="1" applyFont="1" applyFill="1" applyBorder="1" applyAlignment="1">
      <alignment horizontal="center"/>
    </xf>
    <xf numFmtId="0" fontId="41" fillId="6" borderId="3" xfId="0" applyNumberFormat="1" applyFont="1" applyFill="1" applyBorder="1" applyAlignment="1">
      <alignment horizontal="center"/>
    </xf>
    <xf numFmtId="0" fontId="41" fillId="6" borderId="3" xfId="0" applyNumberFormat="1" applyFont="1" applyFill="1" applyBorder="1" applyAlignment="1">
      <alignment horizontal="center"/>
    </xf>
    <xf numFmtId="0" fontId="6" fillId="0" borderId="15" xfId="0" applyFont="1" applyFill="1" applyBorder="1" applyAlignment="1">
      <alignment vertical="center" wrapText="1"/>
    </xf>
    <xf numFmtId="0" fontId="6" fillId="0" borderId="15" xfId="0" applyFont="1" applyFill="1" applyBorder="1" applyAlignment="1">
      <alignment/>
    </xf>
    <xf numFmtId="0" fontId="0" fillId="5" borderId="0" xfId="0" applyFill="1" applyBorder="1" applyAlignment="1">
      <alignment wrapText="1"/>
    </xf>
    <xf numFmtId="0" fontId="0" fillId="5" borderId="39" xfId="0" applyFont="1" applyFill="1" applyBorder="1" applyAlignment="1">
      <alignment/>
    </xf>
    <xf numFmtId="0" fontId="34" fillId="0" borderId="46" xfId="0" applyFont="1" applyFill="1" applyBorder="1" applyAlignment="1">
      <alignment horizontal="center" wrapText="1"/>
    </xf>
    <xf numFmtId="0" fontId="34" fillId="0" borderId="47" xfId="0" applyFont="1" applyFill="1" applyBorder="1" applyAlignment="1">
      <alignment horizontal="center" wrapText="1"/>
    </xf>
    <xf numFmtId="0" fontId="0" fillId="5" borderId="0" xfId="0" applyFont="1" applyFill="1" applyAlignment="1" applyProtection="1">
      <alignment horizontal="left"/>
      <protection/>
    </xf>
    <xf numFmtId="0" fontId="2" fillId="7" borderId="4" xfId="0" applyFont="1" applyFill="1" applyBorder="1" applyAlignment="1" applyProtection="1">
      <alignment horizontal="center" vertical="center" textRotation="45" wrapText="1"/>
      <protection/>
    </xf>
    <xf numFmtId="0" fontId="2" fillId="0" borderId="48" xfId="0" applyFont="1" applyFill="1" applyBorder="1" applyAlignment="1" applyProtection="1">
      <alignment horizontal="left" vertical="center" wrapText="1"/>
      <protection/>
    </xf>
    <xf numFmtId="0" fontId="2" fillId="5" borderId="49" xfId="0" applyFont="1" applyFill="1" applyBorder="1" applyAlignment="1" applyProtection="1">
      <alignment horizontal="left" vertical="center" wrapText="1"/>
      <protection/>
    </xf>
    <xf numFmtId="0" fontId="34" fillId="0" borderId="50" xfId="0" applyFont="1" applyFill="1" applyBorder="1" applyAlignment="1" applyProtection="1">
      <alignment horizontal="left" vertical="center" wrapText="1"/>
      <protection/>
    </xf>
    <xf numFmtId="0" fontId="34" fillId="0" borderId="51" xfId="0" applyFont="1" applyFill="1" applyBorder="1" applyAlignment="1" applyProtection="1">
      <alignment horizontal="left" vertical="center" wrapText="1"/>
      <protection/>
    </xf>
    <xf numFmtId="0" fontId="2" fillId="0" borderId="52" xfId="0" applyFont="1" applyFill="1" applyBorder="1" applyAlignment="1" applyProtection="1">
      <alignment horizontal="left" vertical="center" wrapText="1"/>
      <protection/>
    </xf>
    <xf numFmtId="0" fontId="34" fillId="0" borderId="53" xfId="0" applyFont="1" applyFill="1" applyBorder="1" applyAlignment="1" applyProtection="1">
      <alignment horizontal="left" vertical="center" wrapText="1"/>
      <protection/>
    </xf>
    <xf numFmtId="0" fontId="33" fillId="0" borderId="53" xfId="0" applyFont="1" applyFill="1" applyBorder="1" applyAlignment="1" applyProtection="1">
      <alignment horizontal="left" vertical="center" wrapText="1"/>
      <protection/>
    </xf>
    <xf numFmtId="0" fontId="34" fillId="0" borderId="54" xfId="0" applyFont="1" applyFill="1" applyBorder="1" applyAlignment="1" applyProtection="1">
      <alignment horizontal="left" vertical="center" wrapText="1"/>
      <protection/>
    </xf>
    <xf numFmtId="0" fontId="2" fillId="5" borderId="55" xfId="0" applyFont="1" applyFill="1" applyBorder="1" applyAlignment="1" applyProtection="1">
      <alignment horizontal="left" vertical="center" wrapText="1"/>
      <protection/>
    </xf>
    <xf numFmtId="0" fontId="0" fillId="0" borderId="56" xfId="0" applyFont="1" applyBorder="1" applyAlignment="1" applyProtection="1">
      <alignment horizontal="left" vertical="center" wrapText="1"/>
      <protection/>
    </xf>
    <xf numFmtId="0" fontId="0" fillId="0" borderId="57" xfId="0" applyFont="1" applyBorder="1" applyAlignment="1" applyProtection="1">
      <alignment horizontal="left" vertical="center" wrapText="1"/>
      <protection/>
    </xf>
    <xf numFmtId="0" fontId="2" fillId="5" borderId="58" xfId="0" applyFont="1" applyFill="1" applyBorder="1" applyAlignment="1" applyProtection="1">
      <alignment horizontal="left" vertical="center" wrapText="1"/>
      <protection/>
    </xf>
    <xf numFmtId="0" fontId="33" fillId="0" borderId="53" xfId="0" applyFont="1" applyFill="1" applyBorder="1" applyAlignment="1" applyProtection="1">
      <alignment horizontal="left"/>
      <protection/>
    </xf>
    <xf numFmtId="0" fontId="35" fillId="0" borderId="53" xfId="0" applyFont="1" applyFill="1" applyBorder="1" applyAlignment="1" applyProtection="1">
      <alignment horizontal="left" vertical="center" wrapText="1"/>
      <protection/>
    </xf>
    <xf numFmtId="0" fontId="34" fillId="0" borderId="59" xfId="0" applyFont="1" applyFill="1" applyBorder="1" applyAlignment="1" applyProtection="1">
      <alignment horizontal="left" vertical="center" wrapText="1"/>
      <protection/>
    </xf>
    <xf numFmtId="0" fontId="2" fillId="5" borderId="0" xfId="0" applyFont="1" applyFill="1" applyBorder="1" applyAlignment="1" applyProtection="1">
      <alignment horizontal="center" vertical="center" wrapText="1"/>
      <protection/>
    </xf>
    <xf numFmtId="0" fontId="0" fillId="0" borderId="0" xfId="0" applyNumberFormat="1" applyFont="1" applyAlignment="1" applyProtection="1">
      <alignment horizontal="center" vertical="center"/>
      <protection/>
    </xf>
    <xf numFmtId="0" fontId="2" fillId="0" borderId="0" xfId="17" applyNumberFormat="1" applyFont="1" applyFill="1" applyAlignment="1" applyProtection="1">
      <alignment horizontal="center" vertical="center" wrapText="1"/>
      <protection/>
    </xf>
    <xf numFmtId="0" fontId="2" fillId="7" borderId="0" xfId="0" applyFont="1" applyFill="1" applyAlignment="1" applyProtection="1">
      <alignment horizontal="left"/>
      <protection/>
    </xf>
    <xf numFmtId="0" fontId="2" fillId="7" borderId="0" xfId="0" applyFont="1" applyFill="1" applyAlignment="1" applyProtection="1">
      <alignment horizontal="center" vertical="center" wrapText="1"/>
      <protection/>
    </xf>
    <xf numFmtId="0" fontId="0" fillId="7" borderId="0" xfId="0" applyFont="1" applyFill="1" applyAlignment="1" applyProtection="1">
      <alignment/>
      <protection/>
    </xf>
    <xf numFmtId="0" fontId="0" fillId="5" borderId="0" xfId="0" applyFont="1" applyFill="1" applyAlignment="1" applyProtection="1">
      <alignment/>
      <protection/>
    </xf>
    <xf numFmtId="0" fontId="42" fillId="7" borderId="0" xfId="0" applyFont="1" applyFill="1" applyAlignment="1" applyProtection="1">
      <alignment horizontal="center" vertical="center"/>
      <protection/>
    </xf>
    <xf numFmtId="0" fontId="2" fillId="5" borderId="0" xfId="0" applyFont="1" applyFill="1" applyAlignment="1" applyProtection="1">
      <alignment horizontal="left" vertical="center"/>
      <protection/>
    </xf>
    <xf numFmtId="0" fontId="0" fillId="0" borderId="0" xfId="0" applyFont="1" applyAlignment="1" applyProtection="1">
      <alignment horizontal="left" vertical="center" wrapText="1" indent="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protection/>
    </xf>
    <xf numFmtId="0" fontId="0" fillId="0" borderId="0" xfId="0" applyFont="1" applyBorder="1" applyAlignment="1" applyProtection="1">
      <alignment horizontal="left" vertical="center" wrapText="1" indent="1"/>
      <protection/>
    </xf>
    <xf numFmtId="0" fontId="2" fillId="5" borderId="0" xfId="0" applyFont="1" applyFill="1" applyBorder="1" applyAlignment="1" applyProtection="1">
      <alignment horizontal="left" vertical="center" wrapText="1"/>
      <protection/>
    </xf>
    <xf numFmtId="0" fontId="2" fillId="5" borderId="0" xfId="17" applyNumberFormat="1" applyFont="1" applyFill="1" applyAlignment="1" applyProtection="1">
      <alignment horizontal="center" vertical="center" wrapText="1"/>
      <protection/>
    </xf>
    <xf numFmtId="0" fontId="0" fillId="5" borderId="0" xfId="0" applyNumberFormat="1" applyFont="1" applyFill="1" applyAlignment="1" applyProtection="1">
      <alignment horizontal="center" vertical="center"/>
      <protection/>
    </xf>
    <xf numFmtId="0" fontId="0" fillId="5" borderId="0" xfId="0" applyFont="1" applyFill="1" applyAlignment="1" applyProtection="1">
      <alignment horizontal="center" vertical="center"/>
      <protection/>
    </xf>
    <xf numFmtId="0" fontId="2" fillId="5" borderId="0" xfId="0" applyFont="1" applyFill="1" applyAlignment="1" applyProtection="1">
      <alignment horizontal="left" vertical="center" wrapText="1"/>
      <protection/>
    </xf>
    <xf numFmtId="0" fontId="0" fillId="0" borderId="0" xfId="0" applyFont="1" applyAlignment="1" applyProtection="1">
      <alignment horizontal="left" vertical="center" indent="1"/>
      <protection/>
    </xf>
    <xf numFmtId="0" fontId="17" fillId="0" borderId="0" xfId="0" applyFont="1" applyAlignment="1" applyProtection="1">
      <alignment horizontal="center" vertical="center" wrapText="1"/>
      <protection/>
    </xf>
    <xf numFmtId="0" fontId="6" fillId="3" borderId="15"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top"/>
      <protection locked="0"/>
    </xf>
    <xf numFmtId="0" fontId="0" fillId="6" borderId="0" xfId="0" applyFill="1" applyBorder="1" applyAlignment="1">
      <alignment horizontal="center"/>
    </xf>
    <xf numFmtId="0" fontId="0" fillId="0" borderId="12" xfId="0" applyBorder="1" applyAlignment="1">
      <alignment horizontal="center"/>
    </xf>
    <xf numFmtId="0" fontId="2" fillId="5" borderId="13" xfId="0" applyFont="1" applyFill="1" applyBorder="1" applyAlignment="1">
      <alignment horizontal="center"/>
    </xf>
    <xf numFmtId="0" fontId="32" fillId="5" borderId="12" xfId="0" applyFont="1" applyFill="1" applyBorder="1" applyAlignment="1">
      <alignment horizontal="center"/>
    </xf>
    <xf numFmtId="0" fontId="32" fillId="5" borderId="14" xfId="0" applyFont="1" applyFill="1" applyBorder="1" applyAlignment="1">
      <alignment horizontal="center"/>
    </xf>
    <xf numFmtId="0" fontId="2" fillId="4" borderId="2" xfId="0" applyFont="1" applyFill="1" applyBorder="1" applyAlignment="1">
      <alignment/>
    </xf>
    <xf numFmtId="0" fontId="0" fillId="4" borderId="2" xfId="0" applyFill="1" applyBorder="1" applyAlignment="1">
      <alignment/>
    </xf>
    <xf numFmtId="0" fontId="2" fillId="4" borderId="12" xfId="0" applyFont="1" applyFill="1" applyBorder="1" applyAlignment="1">
      <alignment horizontal="center" vertical="center"/>
    </xf>
    <xf numFmtId="0" fontId="0" fillId="0" borderId="39" xfId="0" applyBorder="1" applyAlignment="1">
      <alignment horizontal="left" wrapText="1"/>
    </xf>
    <xf numFmtId="0" fontId="0" fillId="0" borderId="0" xfId="0" applyBorder="1" applyAlignment="1">
      <alignment horizontal="left" wrapText="1"/>
    </xf>
    <xf numFmtId="0" fontId="0" fillId="0" borderId="40" xfId="0" applyBorder="1" applyAlignment="1">
      <alignment horizontal="left" wrapText="1"/>
    </xf>
    <xf numFmtId="0" fontId="7" fillId="0" borderId="39" xfId="0" applyFont="1" applyBorder="1" applyAlignment="1">
      <alignment horizontal="left"/>
    </xf>
    <xf numFmtId="0" fontId="0" fillId="0" borderId="0" xfId="0" applyBorder="1" applyAlignment="1">
      <alignment horizontal="left"/>
    </xf>
    <xf numFmtId="0" fontId="0" fillId="0" borderId="40" xfId="0" applyBorder="1" applyAlignment="1">
      <alignment horizontal="left"/>
    </xf>
    <xf numFmtId="0" fontId="7" fillId="0" borderId="0" xfId="0" applyFont="1" applyBorder="1" applyAlignment="1">
      <alignment horizontal="left"/>
    </xf>
    <xf numFmtId="0" fontId="0" fillId="0" borderId="40" xfId="0" applyBorder="1" applyAlignment="1">
      <alignment/>
    </xf>
    <xf numFmtId="0" fontId="0" fillId="0" borderId="0" xfId="0" applyFont="1" applyAlignment="1" applyProtection="1">
      <alignment horizontal="left" vertical="center" wrapText="1" indent="1"/>
      <protection/>
    </xf>
    <xf numFmtId="0" fontId="0" fillId="6" borderId="10" xfId="0" applyFont="1" applyFill="1" applyBorder="1" applyAlignment="1">
      <alignment horizontal="right" vertical="center"/>
    </xf>
    <xf numFmtId="0" fontId="0" fillId="0" borderId="10" xfId="0" applyBorder="1" applyAlignment="1">
      <alignment/>
    </xf>
    <xf numFmtId="0" fontId="31" fillId="6" borderId="11" xfId="0" applyFont="1" applyFill="1" applyBorder="1" applyAlignment="1">
      <alignment horizontal="center"/>
    </xf>
    <xf numFmtId="0" fontId="31" fillId="6" borderId="10" xfId="0" applyFont="1" applyFill="1" applyBorder="1" applyAlignment="1">
      <alignment horizontal="center"/>
    </xf>
    <xf numFmtId="0" fontId="2" fillId="5" borderId="14" xfId="0" applyFont="1" applyFill="1" applyBorder="1" applyAlignment="1">
      <alignment horizontal="center"/>
    </xf>
    <xf numFmtId="0" fontId="0" fillId="0" borderId="4" xfId="0" applyBorder="1" applyAlignment="1">
      <alignment horizontal="center"/>
    </xf>
    <xf numFmtId="0" fontId="2" fillId="5" borderId="4" xfId="0" applyFont="1" applyFill="1" applyBorder="1" applyAlignment="1">
      <alignment horizontal="center"/>
    </xf>
    <xf numFmtId="0" fontId="2" fillId="5" borderId="12" xfId="0" applyFont="1" applyFill="1" applyBorder="1" applyAlignment="1">
      <alignment horizontal="center"/>
    </xf>
    <xf numFmtId="0" fontId="0" fillId="0" borderId="14" xfId="0" applyBorder="1" applyAlignment="1">
      <alignment horizontal="center"/>
    </xf>
    <xf numFmtId="0" fontId="31" fillId="6" borderId="9" xfId="0" applyFont="1" applyFill="1" applyBorder="1" applyAlignment="1">
      <alignment horizontal="center"/>
    </xf>
    <xf numFmtId="0" fontId="0" fillId="6" borderId="10" xfId="0" applyFill="1" applyBorder="1" applyAlignment="1">
      <alignment horizontal="center"/>
    </xf>
    <xf numFmtId="0" fontId="0" fillId="6" borderId="9" xfId="0" applyFill="1" applyBorder="1" applyAlignment="1">
      <alignment horizontal="center"/>
    </xf>
    <xf numFmtId="0" fontId="0" fillId="5" borderId="11" xfId="0" applyFill="1" applyBorder="1" applyAlignment="1">
      <alignment horizontal="center"/>
    </xf>
    <xf numFmtId="0" fontId="0" fillId="5" borderId="0" xfId="0" applyFill="1" applyBorder="1" applyAlignment="1">
      <alignment horizontal="center"/>
    </xf>
    <xf numFmtId="0" fontId="0" fillId="5" borderId="10" xfId="0" applyFill="1" applyBorder="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6" borderId="11" xfId="0" applyFill="1" applyBorder="1" applyAlignment="1">
      <alignment horizontal="center"/>
    </xf>
    <xf numFmtId="0" fontId="0" fillId="0" borderId="0" xfId="0" applyAlignment="1">
      <alignment horizontal="center"/>
    </xf>
    <xf numFmtId="0" fontId="0" fillId="0" borderId="0" xfId="0" applyAlignment="1">
      <alignment/>
    </xf>
    <xf numFmtId="0" fontId="0" fillId="0" borderId="14" xfId="0" applyFont="1" applyBorder="1" applyAlignment="1">
      <alignment horizontal="center"/>
    </xf>
    <xf numFmtId="0" fontId="2" fillId="6" borderId="7" xfId="0" applyFont="1" applyFill="1" applyBorder="1" applyAlignment="1">
      <alignment horizontal="center"/>
    </xf>
    <xf numFmtId="0" fontId="2" fillId="6" borderId="6" xfId="0" applyFont="1" applyFill="1" applyBorder="1" applyAlignment="1">
      <alignment horizontal="center"/>
    </xf>
    <xf numFmtId="0" fontId="2" fillId="6" borderId="2" xfId="0" applyFont="1" applyFill="1" applyBorder="1" applyAlignment="1">
      <alignment horizontal="left"/>
    </xf>
    <xf numFmtId="0" fontId="0" fillId="0" borderId="2" xfId="0" applyBorder="1" applyAlignment="1">
      <alignment/>
    </xf>
    <xf numFmtId="0" fontId="2" fillId="6" borderId="8" xfId="0" applyFont="1" applyFill="1" applyBorder="1" applyAlignment="1">
      <alignment horizontal="center"/>
    </xf>
    <xf numFmtId="0" fontId="2" fillId="4" borderId="7" xfId="0" applyFont="1" applyFill="1" applyBorder="1" applyAlignment="1">
      <alignment horizontal="left"/>
    </xf>
    <xf numFmtId="0" fontId="0" fillId="0" borderId="6" xfId="0" applyBorder="1" applyAlignment="1">
      <alignment/>
    </xf>
    <xf numFmtId="0" fontId="0" fillId="0" borderId="8" xfId="0" applyBorder="1" applyAlignment="1">
      <alignment/>
    </xf>
    <xf numFmtId="0" fontId="0" fillId="6" borderId="2" xfId="0" applyFill="1" applyBorder="1" applyAlignment="1">
      <alignment/>
    </xf>
    <xf numFmtId="0" fontId="0" fillId="6" borderId="6" xfId="0" applyFill="1" applyBorder="1" applyAlignment="1">
      <alignment horizontal="center"/>
    </xf>
    <xf numFmtId="0" fontId="0" fillId="6" borderId="8" xfId="0" applyFill="1" applyBorder="1" applyAlignment="1">
      <alignment horizontal="center"/>
    </xf>
    <xf numFmtId="0" fontId="0" fillId="0" borderId="13"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chartsheet" Target="chartsheets/sheet2.xml" /><Relationship Id="rId13" Type="http://schemas.openxmlformats.org/officeDocument/2006/relationships/chartsheet" Target="chartsheets/sheet3.xml" /><Relationship Id="rId14" Type="http://schemas.openxmlformats.org/officeDocument/2006/relationships/chartsheet" Target="chartsheets/sheet4.xml" /><Relationship Id="rId15" Type="http://schemas.openxmlformats.org/officeDocument/2006/relationships/chartsheet" Target="chartsheets/sheet5.xml" /><Relationship Id="rId16" Type="http://schemas.openxmlformats.org/officeDocument/2006/relationships/chartsheet" Target="chartsheets/sheet6.xml" /><Relationship Id="rId17" Type="http://schemas.openxmlformats.org/officeDocument/2006/relationships/chartsheet" Target="chartsheets/sheet7.xml" /><Relationship Id="rId18" Type="http://schemas.openxmlformats.org/officeDocument/2006/relationships/chartsheet" Target="chartsheets/sheet8.xml" /><Relationship Id="rId19" Type="http://schemas.openxmlformats.org/officeDocument/2006/relationships/chartsheet" Target="chartsheets/sheet9.xml" /><Relationship Id="rId20" Type="http://schemas.openxmlformats.org/officeDocument/2006/relationships/chartsheet" Target="chartsheets/sheet10.xml" /><Relationship Id="rId21" Type="http://schemas.openxmlformats.org/officeDocument/2006/relationships/chartsheet" Target="chartsheets/sheet11.xml" /><Relationship Id="rId22" Type="http://schemas.openxmlformats.org/officeDocument/2006/relationships/chartsheet" Target="chartsheets/sheet12.xml" /><Relationship Id="rId23" Type="http://schemas.openxmlformats.org/officeDocument/2006/relationships/chartsheet" Target="chartsheets/sheet13.xml" /><Relationship Id="rId24" Type="http://schemas.openxmlformats.org/officeDocument/2006/relationships/chartsheet" Target="chartsheets/sheet14.xml" /><Relationship Id="rId25" Type="http://schemas.openxmlformats.org/officeDocument/2006/relationships/chartsheet" Target="chartsheets/sheet15.xml" /><Relationship Id="rId26" Type="http://schemas.openxmlformats.org/officeDocument/2006/relationships/chartsheet" Target="chartsheets/sheet16.xml" /><Relationship Id="rId27" Type="http://schemas.openxmlformats.org/officeDocument/2006/relationships/chartsheet" Target="chartsheets/sheet17.xml" /><Relationship Id="rId28" Type="http://schemas.openxmlformats.org/officeDocument/2006/relationships/chartsheet" Target="chartsheets/sheet18.xml" /><Relationship Id="rId29" Type="http://schemas.openxmlformats.org/officeDocument/2006/relationships/chartsheet" Target="chartsheets/sheet19.xml" /><Relationship Id="rId30" Type="http://schemas.openxmlformats.org/officeDocument/2006/relationships/chartsheet" Target="chartsheets/sheet2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'Scaling Functions'!$B$107:$B$112</c:f>
              <c:strCache/>
            </c:strRef>
          </c:cat>
          <c:val>
            <c:numRef>
              <c:f>'Scaling Functions'!$D$107:$D$112</c:f>
              <c:numCache/>
            </c:numRef>
          </c:val>
          <c:smooth val="0"/>
        </c:ser>
        <c:marker val="1"/>
        <c:axId val="45065605"/>
        <c:axId val="2937262"/>
      </c:lineChart>
      <c:catAx>
        <c:axId val="45065605"/>
        <c:scaling>
          <c:orientation val="minMax"/>
        </c:scaling>
        <c:axPos val="b"/>
        <c:title>
          <c:tx>
            <c:rich>
              <a:bodyPr vert="horz" rot="0" anchor="ctr"/>
              <a:lstStyle/>
              <a:p>
                <a:pPr algn="ctr">
                  <a:defRPr/>
                </a:pPr>
                <a:r>
                  <a:rPr lang="en-US" cap="none" sz="825" b="1" i="0" u="none" baseline="0">
                    <a:latin typeface="Arial"/>
                    <a:ea typeface="Arial"/>
                    <a:cs typeface="Arial"/>
                  </a:rPr>
                  <a:t>Severity of environmental impact</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937262"/>
        <c:crosses val="autoZero"/>
        <c:auto val="1"/>
        <c:lblOffset val="100"/>
        <c:noMultiLvlLbl val="0"/>
      </c:catAx>
      <c:valAx>
        <c:axId val="2937262"/>
        <c:scaling>
          <c:orientation val="minMax"/>
          <c:max val="100"/>
        </c:scaling>
        <c:axPos val="l"/>
        <c:title>
          <c:tx>
            <c:rich>
              <a:bodyPr vert="horz" rot="-5400000" anchor="ctr"/>
              <a:lstStyle/>
              <a:p>
                <a:pPr algn="ctr">
                  <a:defRPr/>
                </a:pPr>
                <a:r>
                  <a:rPr lang="en-US" cap="none" sz="825" b="1" i="0" u="none" baseline="0">
                    <a:latin typeface="Arial"/>
                    <a:ea typeface="Arial"/>
                    <a:cs typeface="Arial"/>
                  </a:rPr>
                  <a:t>V(Environ impact)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506560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Inputs'!$I$104:$I$113</c:f>
              <c:numCache>
                <c:ptCount val="10"/>
                <c:pt idx="0">
                  <c:v>0</c:v>
                </c:pt>
                <c:pt idx="1">
                  <c:v>0</c:v>
                </c:pt>
                <c:pt idx="2">
                  <c:v>0</c:v>
                </c:pt>
                <c:pt idx="3">
                  <c:v>0</c:v>
                </c:pt>
                <c:pt idx="4">
                  <c:v>0</c:v>
                </c:pt>
                <c:pt idx="5">
                  <c:v>0</c:v>
                </c:pt>
                <c:pt idx="6">
                  <c:v>0</c:v>
                </c:pt>
                <c:pt idx="7">
                  <c:v>0</c:v>
                </c:pt>
                <c:pt idx="8">
                  <c:v>0</c:v>
                </c:pt>
                <c:pt idx="9">
                  <c:v>0</c:v>
                </c:pt>
              </c:numCache>
            </c:numRef>
          </c:val>
        </c:ser>
        <c:overlap val="100"/>
        <c:axId val="3291247"/>
        <c:axId val="29621224"/>
      </c:barChart>
      <c:catAx>
        <c:axId val="3291247"/>
        <c:scaling>
          <c:orientation val="minMax"/>
        </c:scaling>
        <c:axPos val="l"/>
        <c:delete val="0"/>
        <c:numFmt formatCode="General" sourceLinked="1"/>
        <c:majorTickMark val="out"/>
        <c:minorTickMark val="none"/>
        <c:tickLblPos val="nextTo"/>
        <c:crossAx val="29621224"/>
        <c:crosses val="autoZero"/>
        <c:auto val="1"/>
        <c:lblOffset val="100"/>
        <c:noMultiLvlLbl val="0"/>
      </c:catAx>
      <c:valAx>
        <c:axId val="29621224"/>
        <c:scaling>
          <c:orientation val="minMax"/>
          <c:max val="100"/>
        </c:scaling>
        <c:axPos val="b"/>
        <c:title>
          <c:tx>
            <c:rich>
              <a:bodyPr vert="horz" rot="0" anchor="ctr"/>
              <a:lstStyle/>
              <a:p>
                <a:pPr algn="ctr">
                  <a:defRPr/>
                </a:pPr>
                <a:r>
                  <a:rPr lang="en-US" cap="none" sz="1400" b="1" i="0" u="none" baseline="0">
                    <a:latin typeface="Arial"/>
                    <a:ea typeface="Arial"/>
                    <a:cs typeface="Arial"/>
                  </a:rPr>
                  <a:t>Regulatory responsiveness (lower values preferred)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29124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Inputs'!$K$94:$K$103</c:f>
              <c:numCache>
                <c:ptCount val="10"/>
                <c:pt idx="0">
                  <c:v>4</c:v>
                </c:pt>
                <c:pt idx="1">
                  <c:v>4</c:v>
                </c:pt>
                <c:pt idx="2">
                  <c:v>2.7906976744186047</c:v>
                </c:pt>
                <c:pt idx="3">
                  <c:v>2.7906976744186047</c:v>
                </c:pt>
                <c:pt idx="4">
                  <c:v>2.3255813953488373</c:v>
                </c:pt>
                <c:pt idx="5">
                  <c:v>2.3255813953488373</c:v>
                </c:pt>
                <c:pt idx="6">
                  <c:v>2.511627906976744</c:v>
                </c:pt>
                <c:pt idx="7">
                  <c:v>2.2325581395348837</c:v>
                </c:pt>
                <c:pt idx="8">
                  <c:v>2.2325581395348837</c:v>
                </c:pt>
                <c:pt idx="9">
                  <c:v>0</c:v>
                </c:pt>
              </c:numCache>
            </c:numRef>
          </c:val>
        </c:ser>
        <c:overlap val="100"/>
        <c:axId val="65264425"/>
        <c:axId val="50508914"/>
      </c:barChart>
      <c:catAx>
        <c:axId val="65264425"/>
        <c:scaling>
          <c:orientation val="minMax"/>
        </c:scaling>
        <c:axPos val="l"/>
        <c:delete val="0"/>
        <c:numFmt formatCode="General" sourceLinked="1"/>
        <c:majorTickMark val="out"/>
        <c:minorTickMark val="none"/>
        <c:tickLblPos val="nextTo"/>
        <c:crossAx val="50508914"/>
        <c:crosses val="autoZero"/>
        <c:auto val="1"/>
        <c:lblOffset val="100"/>
        <c:noMultiLvlLbl val="0"/>
      </c:catAx>
      <c:valAx>
        <c:axId val="50508914"/>
        <c:scaling>
          <c:orientation val="minMax"/>
        </c:scaling>
        <c:axPos val="b"/>
        <c:title>
          <c:tx>
            <c:rich>
              <a:bodyPr vert="horz" rot="0" anchor="ctr"/>
              <a:lstStyle/>
              <a:p>
                <a:pPr algn="ctr">
                  <a:defRPr/>
                </a:pPr>
                <a:r>
                  <a:rPr lang="en-US" cap="none" sz="1400" b="1" i="0" u="none" baseline="0">
                    <a:latin typeface="Arial"/>
                    <a:ea typeface="Arial"/>
                    <a:cs typeface="Arial"/>
                  </a:rPr>
                  <a:t>Time to completion value (lower values preferred)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526442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Inputs'!$K$104:$K$113</c:f>
              <c:numCache>
                <c:ptCount val="10"/>
                <c:pt idx="0">
                  <c:v>0</c:v>
                </c:pt>
                <c:pt idx="1">
                  <c:v>0</c:v>
                </c:pt>
                <c:pt idx="2">
                  <c:v>0</c:v>
                </c:pt>
                <c:pt idx="3">
                  <c:v>0</c:v>
                </c:pt>
                <c:pt idx="4">
                  <c:v>0</c:v>
                </c:pt>
                <c:pt idx="5">
                  <c:v>0</c:v>
                </c:pt>
                <c:pt idx="6">
                  <c:v>0</c:v>
                </c:pt>
                <c:pt idx="7">
                  <c:v>0</c:v>
                </c:pt>
                <c:pt idx="8">
                  <c:v>0</c:v>
                </c:pt>
                <c:pt idx="9">
                  <c:v>0</c:v>
                </c:pt>
              </c:numCache>
            </c:numRef>
          </c:val>
        </c:ser>
        <c:overlap val="100"/>
        <c:axId val="51927043"/>
        <c:axId val="64690204"/>
      </c:barChart>
      <c:catAx>
        <c:axId val="51927043"/>
        <c:scaling>
          <c:orientation val="minMax"/>
        </c:scaling>
        <c:axPos val="l"/>
        <c:delete val="0"/>
        <c:numFmt formatCode="General" sourceLinked="1"/>
        <c:majorTickMark val="out"/>
        <c:minorTickMark val="none"/>
        <c:tickLblPos val="nextTo"/>
        <c:crossAx val="64690204"/>
        <c:crosses val="autoZero"/>
        <c:auto val="1"/>
        <c:lblOffset val="100"/>
        <c:noMultiLvlLbl val="0"/>
      </c:catAx>
      <c:valAx>
        <c:axId val="64690204"/>
        <c:scaling>
          <c:orientation val="minMax"/>
        </c:scaling>
        <c:axPos val="b"/>
        <c:title>
          <c:tx>
            <c:rich>
              <a:bodyPr vert="horz" rot="0" anchor="ctr"/>
              <a:lstStyle/>
              <a:p>
                <a:pPr algn="ctr">
                  <a:defRPr/>
                </a:pPr>
                <a:r>
                  <a:rPr lang="en-US" cap="none" sz="1400" b="1" i="0" u="none" baseline="0">
                    <a:latin typeface="Arial"/>
                    <a:ea typeface="Arial"/>
                    <a:cs typeface="Arial"/>
                  </a:rPr>
                  <a:t>Time to completion value (lower values preferred)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192704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Inputs'!$M$94:$M$103</c:f>
              <c:numCache>
                <c:ptCount val="10"/>
                <c:pt idx="0">
                  <c:v>0</c:v>
                </c:pt>
                <c:pt idx="1">
                  <c:v>17.315120490473284</c:v>
                </c:pt>
                <c:pt idx="2">
                  <c:v>27.50197981658799</c:v>
                </c:pt>
                <c:pt idx="3">
                  <c:v>36.72858158029089</c:v>
                </c:pt>
                <c:pt idx="4">
                  <c:v>61.283128444823035</c:v>
                </c:pt>
                <c:pt idx="5">
                  <c:v>215.02148306259383</c:v>
                </c:pt>
                <c:pt idx="6">
                  <c:v>44.862826857652315</c:v>
                </c:pt>
                <c:pt idx="7">
                  <c:v>69.46598007751311</c:v>
                </c:pt>
                <c:pt idx="8">
                  <c:v>225.59447770481066</c:v>
                </c:pt>
                <c:pt idx="9">
                  <c:v>0</c:v>
                </c:pt>
              </c:numCache>
            </c:numRef>
          </c:val>
        </c:ser>
        <c:overlap val="100"/>
        <c:axId val="45340925"/>
        <c:axId val="5415142"/>
      </c:barChart>
      <c:catAx>
        <c:axId val="45340925"/>
        <c:scaling>
          <c:orientation val="minMax"/>
        </c:scaling>
        <c:axPos val="l"/>
        <c:delete val="0"/>
        <c:numFmt formatCode="General" sourceLinked="1"/>
        <c:majorTickMark val="out"/>
        <c:minorTickMark val="none"/>
        <c:tickLblPos val="nextTo"/>
        <c:crossAx val="5415142"/>
        <c:crosses val="autoZero"/>
        <c:auto val="1"/>
        <c:lblOffset val="100"/>
        <c:noMultiLvlLbl val="0"/>
      </c:catAx>
      <c:valAx>
        <c:axId val="5415142"/>
        <c:scaling>
          <c:orientation val="minMax"/>
          <c:max val="200"/>
        </c:scaling>
        <c:axPos val="b"/>
        <c:title>
          <c:tx>
            <c:rich>
              <a:bodyPr vert="horz" rot="0" anchor="ctr"/>
              <a:lstStyle/>
              <a:p>
                <a:pPr algn="ctr">
                  <a:defRPr/>
                </a:pPr>
                <a:r>
                  <a:rPr lang="en-US" cap="none" sz="1400" b="1" i="0" u="none" baseline="0">
                    <a:latin typeface="Arial"/>
                    <a:ea typeface="Arial"/>
                    <a:cs typeface="Arial"/>
                  </a:rPr>
                  <a:t>Cost value (lower values preferred)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534092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Inputs'!$M$104:$M$113</c:f>
              <c:numCache>
                <c:ptCount val="10"/>
                <c:pt idx="0">
                  <c:v>0</c:v>
                </c:pt>
                <c:pt idx="1">
                  <c:v>0</c:v>
                </c:pt>
                <c:pt idx="2">
                  <c:v>0</c:v>
                </c:pt>
                <c:pt idx="3">
                  <c:v>0</c:v>
                </c:pt>
                <c:pt idx="4">
                  <c:v>0</c:v>
                </c:pt>
                <c:pt idx="5">
                  <c:v>0</c:v>
                </c:pt>
                <c:pt idx="6">
                  <c:v>0</c:v>
                </c:pt>
                <c:pt idx="7">
                  <c:v>0</c:v>
                </c:pt>
                <c:pt idx="8">
                  <c:v>0</c:v>
                </c:pt>
                <c:pt idx="9">
                  <c:v>0</c:v>
                </c:pt>
              </c:numCache>
            </c:numRef>
          </c:val>
        </c:ser>
        <c:overlap val="100"/>
        <c:axId val="48736279"/>
        <c:axId val="35973328"/>
      </c:barChart>
      <c:catAx>
        <c:axId val="48736279"/>
        <c:scaling>
          <c:orientation val="minMax"/>
        </c:scaling>
        <c:axPos val="l"/>
        <c:delete val="0"/>
        <c:numFmt formatCode="General" sourceLinked="1"/>
        <c:majorTickMark val="out"/>
        <c:minorTickMark val="none"/>
        <c:tickLblPos val="nextTo"/>
        <c:crossAx val="35973328"/>
        <c:crosses val="autoZero"/>
        <c:auto val="1"/>
        <c:lblOffset val="100"/>
        <c:noMultiLvlLbl val="0"/>
      </c:catAx>
      <c:valAx>
        <c:axId val="35973328"/>
        <c:scaling>
          <c:orientation val="minMax"/>
          <c:max val="200"/>
        </c:scaling>
        <c:axPos val="b"/>
        <c:title>
          <c:tx>
            <c:rich>
              <a:bodyPr vert="horz" rot="0" anchor="ctr"/>
              <a:lstStyle/>
              <a:p>
                <a:pPr algn="ctr">
                  <a:defRPr/>
                </a:pPr>
                <a:r>
                  <a:rPr lang="en-US" cap="none" sz="1400" b="1" i="0" u="none" baseline="0">
                    <a:latin typeface="Arial"/>
                    <a:ea typeface="Arial"/>
                    <a:cs typeface="Arial"/>
                  </a:rPr>
                  <a:t>Cost value (lower values preferred)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873627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725"/>
          <c:w val="0.94925"/>
          <c:h val="0.925"/>
        </c:manualLayout>
      </c:layout>
      <c:barChart>
        <c:barDir val="bar"/>
        <c:grouping val="stacked"/>
        <c:varyColors val="0"/>
        <c:ser>
          <c:idx val="0"/>
          <c:order val="0"/>
          <c:tx>
            <c:v>Public Health Risks</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Inputs'!$C$94:$C$103</c:f>
              <c:numCache>
                <c:ptCount val="10"/>
                <c:pt idx="0">
                  <c:v>0.00016403320914815174</c:v>
                </c:pt>
                <c:pt idx="1">
                  <c:v>3.280664182963034E-10</c:v>
                </c:pt>
                <c:pt idx="2">
                  <c:v>3.280664182963034E-10</c:v>
                </c:pt>
                <c:pt idx="3">
                  <c:v>3.280664182963035E-11</c:v>
                </c:pt>
                <c:pt idx="4">
                  <c:v>3.280664182963035E-11</c:v>
                </c:pt>
                <c:pt idx="5">
                  <c:v>3.280664182963035E-11</c:v>
                </c:pt>
                <c:pt idx="6">
                  <c:v>3.280664182963035E-11</c:v>
                </c:pt>
                <c:pt idx="7">
                  <c:v>3.280664182963035E-11</c:v>
                </c:pt>
                <c:pt idx="8">
                  <c:v>3.280664182963035E-11</c:v>
                </c:pt>
                <c:pt idx="9">
                  <c:v>0</c:v>
                </c:pt>
              </c:numCache>
            </c:numRef>
          </c:val>
        </c:ser>
        <c:ser>
          <c:idx val="5"/>
          <c:order val="1"/>
          <c:tx>
            <c:v>Worker Health Risks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Inputs'!$E$94:$E$103</c:f>
              <c:numCache>
                <c:ptCount val="10"/>
                <c:pt idx="0">
                  <c:v>0</c:v>
                </c:pt>
                <c:pt idx="1">
                  <c:v>0.0025555839509327884</c:v>
                </c:pt>
                <c:pt idx="2">
                  <c:v>0.0025555839509327884</c:v>
                </c:pt>
                <c:pt idx="3">
                  <c:v>0.025555839509327882</c:v>
                </c:pt>
                <c:pt idx="4">
                  <c:v>0.2555583950932788</c:v>
                </c:pt>
                <c:pt idx="5">
                  <c:v>0.07666751852798365</c:v>
                </c:pt>
                <c:pt idx="6">
                  <c:v>0.025555839509327882</c:v>
                </c:pt>
                <c:pt idx="7">
                  <c:v>0.2555583950932788</c:v>
                </c:pt>
                <c:pt idx="8">
                  <c:v>0.07666751852798365</c:v>
                </c:pt>
                <c:pt idx="9">
                  <c:v>0</c:v>
                </c:pt>
              </c:numCache>
            </c:numRef>
          </c:val>
        </c:ser>
        <c:ser>
          <c:idx val="1"/>
          <c:order val="2"/>
          <c:tx>
            <c:v>Environmental Risks</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Inputs'!$G$94:$G$103</c:f>
              <c:numCache>
                <c:ptCount val="10"/>
                <c:pt idx="0">
                  <c:v>6.136950904392766</c:v>
                </c:pt>
                <c:pt idx="1">
                  <c:v>6.136950904392766</c:v>
                </c:pt>
                <c:pt idx="2">
                  <c:v>3.068475452196383</c:v>
                </c:pt>
                <c:pt idx="3">
                  <c:v>3.068475452196383</c:v>
                </c:pt>
                <c:pt idx="4">
                  <c:v>3.068475452196383</c:v>
                </c:pt>
                <c:pt idx="5">
                  <c:v>3.068475452196383</c:v>
                </c:pt>
                <c:pt idx="6">
                  <c:v>3.068475452196383</c:v>
                </c:pt>
                <c:pt idx="7">
                  <c:v>3.068475452196383</c:v>
                </c:pt>
                <c:pt idx="8">
                  <c:v>3.068475452196383</c:v>
                </c:pt>
                <c:pt idx="9">
                  <c:v>0</c:v>
                </c:pt>
              </c:numCache>
            </c:numRef>
          </c:val>
        </c:ser>
        <c:ser>
          <c:idx val="3"/>
          <c:order val="3"/>
          <c:tx>
            <c:v>Time</c:v>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Inputs'!$K$94:$K$103</c:f>
              <c:numCache>
                <c:ptCount val="10"/>
                <c:pt idx="0">
                  <c:v>4</c:v>
                </c:pt>
                <c:pt idx="1">
                  <c:v>4</c:v>
                </c:pt>
                <c:pt idx="2">
                  <c:v>2.7906976744186047</c:v>
                </c:pt>
                <c:pt idx="3">
                  <c:v>2.7906976744186047</c:v>
                </c:pt>
                <c:pt idx="4">
                  <c:v>2.3255813953488373</c:v>
                </c:pt>
                <c:pt idx="5">
                  <c:v>2.3255813953488373</c:v>
                </c:pt>
                <c:pt idx="6">
                  <c:v>2.511627906976744</c:v>
                </c:pt>
                <c:pt idx="7">
                  <c:v>2.2325581395348837</c:v>
                </c:pt>
                <c:pt idx="8">
                  <c:v>2.2325581395348837</c:v>
                </c:pt>
                <c:pt idx="9">
                  <c:v>0</c:v>
                </c:pt>
              </c:numCache>
            </c:numRef>
          </c:val>
        </c:ser>
        <c:ser>
          <c:idx val="2"/>
          <c:order val="4"/>
          <c:tx>
            <c:v>Regulatory</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Inputs'!$I$94:$I$103</c:f>
              <c:numCache>
                <c:ptCount val="10"/>
                <c:pt idx="0">
                  <c:v>93023255.81395349</c:v>
                </c:pt>
                <c:pt idx="1">
                  <c:v>5.5813953488372094</c:v>
                </c:pt>
                <c:pt idx="2">
                  <c:v>2.7906976744186047</c:v>
                </c:pt>
                <c:pt idx="3">
                  <c:v>0</c:v>
                </c:pt>
                <c:pt idx="4">
                  <c:v>0</c:v>
                </c:pt>
                <c:pt idx="5">
                  <c:v>0</c:v>
                </c:pt>
                <c:pt idx="6">
                  <c:v>0</c:v>
                </c:pt>
                <c:pt idx="7">
                  <c:v>0</c:v>
                </c:pt>
                <c:pt idx="8">
                  <c:v>0</c:v>
                </c:pt>
                <c:pt idx="9">
                  <c:v>0</c:v>
                </c:pt>
              </c:numCache>
            </c:numRef>
          </c:val>
        </c:ser>
        <c:ser>
          <c:idx val="4"/>
          <c:order val="5"/>
          <c:tx>
            <c:v>Costs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Inputs'!$M$94:$M$103</c:f>
              <c:numCache>
                <c:ptCount val="10"/>
                <c:pt idx="0">
                  <c:v>0</c:v>
                </c:pt>
                <c:pt idx="1">
                  <c:v>17.315120490473284</c:v>
                </c:pt>
                <c:pt idx="2">
                  <c:v>27.50197981658799</c:v>
                </c:pt>
                <c:pt idx="3">
                  <c:v>36.72858158029089</c:v>
                </c:pt>
                <c:pt idx="4">
                  <c:v>61.283128444823035</c:v>
                </c:pt>
                <c:pt idx="5">
                  <c:v>215.02148306259383</c:v>
                </c:pt>
                <c:pt idx="6">
                  <c:v>44.862826857652315</c:v>
                </c:pt>
                <c:pt idx="7">
                  <c:v>69.46598007751311</c:v>
                </c:pt>
                <c:pt idx="8">
                  <c:v>225.59447770481066</c:v>
                </c:pt>
                <c:pt idx="9">
                  <c:v>0</c:v>
                </c:pt>
              </c:numCache>
            </c:numRef>
          </c:val>
        </c:ser>
        <c:overlap val="100"/>
        <c:axId val="55324497"/>
        <c:axId val="28158426"/>
      </c:barChart>
      <c:catAx>
        <c:axId val="55324497"/>
        <c:scaling>
          <c:orientation val="minMax"/>
        </c:scaling>
        <c:axPos val="l"/>
        <c:delete val="0"/>
        <c:numFmt formatCode="General" sourceLinked="1"/>
        <c:majorTickMark val="out"/>
        <c:minorTickMark val="none"/>
        <c:tickLblPos val="nextTo"/>
        <c:crossAx val="28158426"/>
        <c:crosses val="autoZero"/>
        <c:auto val="1"/>
        <c:lblOffset val="100"/>
        <c:noMultiLvlLbl val="0"/>
      </c:catAx>
      <c:valAx>
        <c:axId val="28158426"/>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Utility (lower values preferred)</a:t>
                </a:r>
              </a:p>
            </c:rich>
          </c:tx>
          <c:layout/>
          <c:overlay val="0"/>
          <c:spPr>
            <a:noFill/>
            <a:ln>
              <a:noFill/>
            </a:ln>
          </c:spPr>
        </c:title>
        <c:majorGridlines>
          <c:spPr>
            <a:ln w="3175">
              <a:solidFill>
                <a:srgbClr val="333333"/>
              </a:solidFill>
              <a:prstDash val="sysDot"/>
            </a:ln>
          </c:spPr>
        </c:majorGridlines>
        <c:delete val="0"/>
        <c:numFmt formatCode="General" sourceLinked="1"/>
        <c:majorTickMark val="out"/>
        <c:minorTickMark val="none"/>
        <c:tickLblPos val="nextTo"/>
        <c:crossAx val="55324497"/>
        <c:crossesAt val="1"/>
        <c:crossBetween val="between"/>
        <c:dispUnits/>
      </c:valAx>
      <c:spPr>
        <a:noFill/>
        <a:ln w="12700">
          <a:solidFill>
            <a:srgbClr val="808080"/>
          </a:solidFill>
        </a:ln>
      </c:spPr>
    </c:plotArea>
    <c:legend>
      <c:legendPos val="r"/>
      <c:layout>
        <c:manualLayout>
          <c:xMode val="edge"/>
          <c:yMode val="edge"/>
          <c:x val="0.01"/>
          <c:y val="0.779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725"/>
          <c:w val="0.95025"/>
          <c:h val="0.925"/>
        </c:manualLayout>
      </c:layout>
      <c:barChart>
        <c:barDir val="bar"/>
        <c:grouping val="stacked"/>
        <c:varyColors val="0"/>
        <c:ser>
          <c:idx val="0"/>
          <c:order val="0"/>
          <c:tx>
            <c:v>Public Health Risks</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Inputs'!$C$104:$C$113</c:f>
              <c:numCache>
                <c:ptCount val="10"/>
                <c:pt idx="0">
                  <c:v>0</c:v>
                </c:pt>
                <c:pt idx="1">
                  <c:v>0</c:v>
                </c:pt>
                <c:pt idx="2">
                  <c:v>0</c:v>
                </c:pt>
                <c:pt idx="3">
                  <c:v>0</c:v>
                </c:pt>
                <c:pt idx="4">
                  <c:v>0</c:v>
                </c:pt>
                <c:pt idx="5">
                  <c:v>0</c:v>
                </c:pt>
                <c:pt idx="6">
                  <c:v>0</c:v>
                </c:pt>
                <c:pt idx="7">
                  <c:v>0</c:v>
                </c:pt>
                <c:pt idx="8">
                  <c:v>0</c:v>
                </c:pt>
                <c:pt idx="9">
                  <c:v>0</c:v>
                </c:pt>
              </c:numCache>
            </c:numRef>
          </c:val>
        </c:ser>
        <c:ser>
          <c:idx val="5"/>
          <c:order val="1"/>
          <c:tx>
            <c:v>Worker Health Risks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Inputs'!$E$104:$E$113</c:f>
              <c:numCache>
                <c:ptCount val="10"/>
                <c:pt idx="0">
                  <c:v>0</c:v>
                </c:pt>
                <c:pt idx="1">
                  <c:v>0</c:v>
                </c:pt>
                <c:pt idx="2">
                  <c:v>0</c:v>
                </c:pt>
                <c:pt idx="3">
                  <c:v>0</c:v>
                </c:pt>
                <c:pt idx="4">
                  <c:v>0</c:v>
                </c:pt>
                <c:pt idx="5">
                  <c:v>0</c:v>
                </c:pt>
                <c:pt idx="6">
                  <c:v>0</c:v>
                </c:pt>
                <c:pt idx="7">
                  <c:v>0</c:v>
                </c:pt>
                <c:pt idx="8">
                  <c:v>0</c:v>
                </c:pt>
                <c:pt idx="9">
                  <c:v>0</c:v>
                </c:pt>
              </c:numCache>
            </c:numRef>
          </c:val>
        </c:ser>
        <c:ser>
          <c:idx val="1"/>
          <c:order val="2"/>
          <c:tx>
            <c:v>Environmental Risks</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Inputs'!$G$104:$G$113</c:f>
              <c:numCache>
                <c:ptCount val="10"/>
                <c:pt idx="0">
                  <c:v>0</c:v>
                </c:pt>
                <c:pt idx="1">
                  <c:v>0</c:v>
                </c:pt>
                <c:pt idx="2">
                  <c:v>0</c:v>
                </c:pt>
                <c:pt idx="3">
                  <c:v>0</c:v>
                </c:pt>
                <c:pt idx="4">
                  <c:v>0</c:v>
                </c:pt>
                <c:pt idx="5">
                  <c:v>0</c:v>
                </c:pt>
                <c:pt idx="6">
                  <c:v>0</c:v>
                </c:pt>
                <c:pt idx="7">
                  <c:v>0</c:v>
                </c:pt>
                <c:pt idx="8">
                  <c:v>0</c:v>
                </c:pt>
                <c:pt idx="9">
                  <c:v>0</c:v>
                </c:pt>
              </c:numCache>
            </c:numRef>
          </c:val>
        </c:ser>
        <c:ser>
          <c:idx val="3"/>
          <c:order val="3"/>
          <c:tx>
            <c:v>Time</c:v>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Inputs'!$K$104:$K$113</c:f>
              <c:numCache>
                <c:ptCount val="10"/>
                <c:pt idx="0">
                  <c:v>0</c:v>
                </c:pt>
                <c:pt idx="1">
                  <c:v>0</c:v>
                </c:pt>
                <c:pt idx="2">
                  <c:v>0</c:v>
                </c:pt>
                <c:pt idx="3">
                  <c:v>0</c:v>
                </c:pt>
                <c:pt idx="4">
                  <c:v>0</c:v>
                </c:pt>
                <c:pt idx="5">
                  <c:v>0</c:v>
                </c:pt>
                <c:pt idx="6">
                  <c:v>0</c:v>
                </c:pt>
                <c:pt idx="7">
                  <c:v>0</c:v>
                </c:pt>
                <c:pt idx="8">
                  <c:v>0</c:v>
                </c:pt>
                <c:pt idx="9">
                  <c:v>0</c:v>
                </c:pt>
              </c:numCache>
            </c:numRef>
          </c:val>
        </c:ser>
        <c:ser>
          <c:idx val="2"/>
          <c:order val="4"/>
          <c:tx>
            <c:v>Regulatory</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Inputs'!$I$104:$I$113</c:f>
              <c:numCache>
                <c:ptCount val="10"/>
                <c:pt idx="0">
                  <c:v>0</c:v>
                </c:pt>
                <c:pt idx="1">
                  <c:v>0</c:v>
                </c:pt>
                <c:pt idx="2">
                  <c:v>0</c:v>
                </c:pt>
                <c:pt idx="3">
                  <c:v>0</c:v>
                </c:pt>
                <c:pt idx="4">
                  <c:v>0</c:v>
                </c:pt>
                <c:pt idx="5">
                  <c:v>0</c:v>
                </c:pt>
                <c:pt idx="6">
                  <c:v>0</c:v>
                </c:pt>
                <c:pt idx="7">
                  <c:v>0</c:v>
                </c:pt>
                <c:pt idx="8">
                  <c:v>0</c:v>
                </c:pt>
                <c:pt idx="9">
                  <c:v>0</c:v>
                </c:pt>
              </c:numCache>
            </c:numRef>
          </c:val>
        </c:ser>
        <c:ser>
          <c:idx val="4"/>
          <c:order val="5"/>
          <c:tx>
            <c:v>Costs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Inputs'!$M$104:$M$113</c:f>
              <c:numCache>
                <c:ptCount val="10"/>
                <c:pt idx="0">
                  <c:v>0</c:v>
                </c:pt>
                <c:pt idx="1">
                  <c:v>0</c:v>
                </c:pt>
                <c:pt idx="2">
                  <c:v>0</c:v>
                </c:pt>
                <c:pt idx="3">
                  <c:v>0</c:v>
                </c:pt>
                <c:pt idx="4">
                  <c:v>0</c:v>
                </c:pt>
                <c:pt idx="5">
                  <c:v>0</c:v>
                </c:pt>
                <c:pt idx="6">
                  <c:v>0</c:v>
                </c:pt>
                <c:pt idx="7">
                  <c:v>0</c:v>
                </c:pt>
                <c:pt idx="8">
                  <c:v>0</c:v>
                </c:pt>
                <c:pt idx="9">
                  <c:v>0</c:v>
                </c:pt>
              </c:numCache>
            </c:numRef>
          </c:val>
        </c:ser>
        <c:overlap val="100"/>
        <c:axId val="52099243"/>
        <c:axId val="66240004"/>
      </c:barChart>
      <c:catAx>
        <c:axId val="52099243"/>
        <c:scaling>
          <c:orientation val="minMax"/>
        </c:scaling>
        <c:axPos val="l"/>
        <c:delete val="0"/>
        <c:numFmt formatCode="General" sourceLinked="1"/>
        <c:majorTickMark val="out"/>
        <c:minorTickMark val="none"/>
        <c:tickLblPos val="nextTo"/>
        <c:crossAx val="66240004"/>
        <c:crosses val="autoZero"/>
        <c:auto val="1"/>
        <c:lblOffset val="100"/>
        <c:noMultiLvlLbl val="0"/>
      </c:catAx>
      <c:valAx>
        <c:axId val="66240004"/>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Utility (lower values preferred)</a:t>
                </a:r>
              </a:p>
            </c:rich>
          </c:tx>
          <c:layout/>
          <c:overlay val="0"/>
          <c:spPr>
            <a:noFill/>
            <a:ln>
              <a:noFill/>
            </a:ln>
          </c:spPr>
        </c:title>
        <c:majorGridlines>
          <c:spPr>
            <a:ln w="3175">
              <a:solidFill>
                <a:srgbClr val="333333"/>
              </a:solidFill>
              <a:prstDash val="sysDot"/>
            </a:ln>
          </c:spPr>
        </c:majorGridlines>
        <c:delete val="0"/>
        <c:numFmt formatCode="General" sourceLinked="1"/>
        <c:majorTickMark val="out"/>
        <c:minorTickMark val="none"/>
        <c:tickLblPos val="nextTo"/>
        <c:crossAx val="52099243"/>
        <c:crossesAt val="1"/>
        <c:crossBetween val="between"/>
        <c:dispUnits/>
      </c:valAx>
      <c:spPr>
        <a:noFill/>
        <a:ln w="12700">
          <a:solidFill>
            <a:srgbClr val="808080"/>
          </a:solidFill>
        </a:ln>
      </c:spPr>
    </c:plotArea>
    <c:legend>
      <c:legendPos val="r"/>
      <c:layout>
        <c:manualLayout>
          <c:xMode val="edge"/>
          <c:yMode val="edge"/>
          <c:x val="0"/>
          <c:y val="0.778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725"/>
          <c:w val="0.927"/>
          <c:h val="0.91575"/>
        </c:manualLayout>
      </c:layout>
      <c:barChart>
        <c:barDir val="bar"/>
        <c:grouping val="stacked"/>
        <c:varyColors val="0"/>
        <c:ser>
          <c:idx val="0"/>
          <c:order val="0"/>
          <c:tx>
            <c:v>Public Health Risks</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Inputs'!$A$116:$A$125</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Inputs'!$C$116:$C$125</c:f>
              <c:numCache>
                <c:ptCount val="10"/>
                <c:pt idx="0">
                  <c:v>0.00026318761169293005</c:v>
                </c:pt>
                <c:pt idx="1">
                  <c:v>5.2637522338586E-10</c:v>
                </c:pt>
                <c:pt idx="2">
                  <c:v>5.2637522338586E-10</c:v>
                </c:pt>
                <c:pt idx="3">
                  <c:v>5.2637522338586004E-11</c:v>
                </c:pt>
                <c:pt idx="4">
                  <c:v>5.2637522338586004E-11</c:v>
                </c:pt>
                <c:pt idx="5">
                  <c:v>5.2637522338586004E-11</c:v>
                </c:pt>
                <c:pt idx="6">
                  <c:v>5.2637522338586004E-11</c:v>
                </c:pt>
                <c:pt idx="7">
                  <c:v>5.2637522338586004E-11</c:v>
                </c:pt>
                <c:pt idx="8">
                  <c:v>5.2637522338586004E-11</c:v>
                </c:pt>
                <c:pt idx="9">
                  <c:v>0</c:v>
                </c:pt>
              </c:numCache>
            </c:numRef>
          </c:val>
        </c:ser>
        <c:ser>
          <c:idx val="5"/>
          <c:order val="1"/>
          <c:tx>
            <c:v>Worker Health Risks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Inputs'!$A$116:$A$125</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Inputs'!$E$116:$E$125</c:f>
              <c:numCache>
                <c:ptCount val="10"/>
                <c:pt idx="0">
                  <c:v>0</c:v>
                </c:pt>
                <c:pt idx="1">
                  <c:v>0.004100377234705593</c:v>
                </c:pt>
                <c:pt idx="2">
                  <c:v>0.004100377234705593</c:v>
                </c:pt>
                <c:pt idx="3">
                  <c:v>0.04100377234705593</c:v>
                </c:pt>
                <c:pt idx="4">
                  <c:v>0.41003772347055933</c:v>
                </c:pt>
                <c:pt idx="5">
                  <c:v>0.1230113170411678</c:v>
                </c:pt>
                <c:pt idx="6">
                  <c:v>0.04100377234705593</c:v>
                </c:pt>
                <c:pt idx="7">
                  <c:v>0.41003772347055933</c:v>
                </c:pt>
                <c:pt idx="8">
                  <c:v>0.1230113170411678</c:v>
                </c:pt>
                <c:pt idx="9">
                  <c:v>0</c:v>
                </c:pt>
              </c:numCache>
            </c:numRef>
          </c:val>
        </c:ser>
        <c:ser>
          <c:idx val="1"/>
          <c:order val="2"/>
          <c:tx>
            <c:v>Environmental Risks</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Inputs'!$A$116:$A$125</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Inputs'!$G$116:$G$125</c:f>
              <c:numCache>
                <c:ptCount val="10"/>
                <c:pt idx="0">
                  <c:v>9.84660033167496</c:v>
                </c:pt>
                <c:pt idx="1">
                  <c:v>9.84660033167496</c:v>
                </c:pt>
                <c:pt idx="2">
                  <c:v>4.92330016583748</c:v>
                </c:pt>
                <c:pt idx="3">
                  <c:v>4.92330016583748</c:v>
                </c:pt>
                <c:pt idx="4">
                  <c:v>4.92330016583748</c:v>
                </c:pt>
                <c:pt idx="5">
                  <c:v>4.92330016583748</c:v>
                </c:pt>
                <c:pt idx="6">
                  <c:v>4.92330016583748</c:v>
                </c:pt>
                <c:pt idx="7">
                  <c:v>4.92330016583748</c:v>
                </c:pt>
                <c:pt idx="8">
                  <c:v>4.92330016583748</c:v>
                </c:pt>
                <c:pt idx="9">
                  <c:v>0</c:v>
                </c:pt>
              </c:numCache>
            </c:numRef>
          </c:val>
        </c:ser>
        <c:ser>
          <c:idx val="3"/>
          <c:order val="3"/>
          <c:tx>
            <c:v>Time</c:v>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Inputs'!$A$116:$A$125</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Inputs'!$K$116:$K$125</c:f>
              <c:numCache>
                <c:ptCount val="10"/>
                <c:pt idx="0">
                  <c:v>0.6417910447761194</c:v>
                </c:pt>
                <c:pt idx="1">
                  <c:v>0.6417910447761194</c:v>
                </c:pt>
                <c:pt idx="2">
                  <c:v>0.4477611940298507</c:v>
                </c:pt>
                <c:pt idx="3">
                  <c:v>0.4477611940298507</c:v>
                </c:pt>
                <c:pt idx="4">
                  <c:v>0.3731343283582089</c:v>
                </c:pt>
                <c:pt idx="5">
                  <c:v>0.3731343283582089</c:v>
                </c:pt>
                <c:pt idx="6">
                  <c:v>0.40298507462686567</c:v>
                </c:pt>
                <c:pt idx="7">
                  <c:v>0.3582089552238806</c:v>
                </c:pt>
                <c:pt idx="8">
                  <c:v>0.3582089552238806</c:v>
                </c:pt>
                <c:pt idx="9">
                  <c:v>0</c:v>
                </c:pt>
              </c:numCache>
            </c:numRef>
          </c:val>
        </c:ser>
        <c:ser>
          <c:idx val="2"/>
          <c:order val="4"/>
          <c:tx>
            <c:v>Regulatory</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Inputs'!$A$116:$A$125</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Inputs'!$I$116:$I$125</c:f>
              <c:numCache>
                <c:ptCount val="10"/>
                <c:pt idx="0">
                  <c:v>14925373.134328358</c:v>
                </c:pt>
                <c:pt idx="1">
                  <c:v>0.8955223880597015</c:v>
                </c:pt>
                <c:pt idx="2">
                  <c:v>0.44776119402985076</c:v>
                </c:pt>
                <c:pt idx="3">
                  <c:v>0</c:v>
                </c:pt>
                <c:pt idx="4">
                  <c:v>0</c:v>
                </c:pt>
                <c:pt idx="5">
                  <c:v>0</c:v>
                </c:pt>
                <c:pt idx="6">
                  <c:v>0</c:v>
                </c:pt>
                <c:pt idx="7">
                  <c:v>0</c:v>
                </c:pt>
                <c:pt idx="8">
                  <c:v>0</c:v>
                </c:pt>
                <c:pt idx="9">
                  <c:v>0</c:v>
                </c:pt>
              </c:numCache>
            </c:numRef>
          </c:val>
        </c:ser>
        <c:ser>
          <c:idx val="4"/>
          <c:order val="5"/>
          <c:tx>
            <c:v>Costs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Inputs'!$A$116:$A$125</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Inputs'!$M$116:$M$125</c:f>
              <c:numCache>
                <c:ptCount val="10"/>
                <c:pt idx="0">
                  <c:v>0</c:v>
                </c:pt>
                <c:pt idx="1">
                  <c:v>2.77817231750131</c:v>
                </c:pt>
                <c:pt idx="2">
                  <c:v>4.412631089974939</c:v>
                </c:pt>
                <c:pt idx="3">
                  <c:v>5.893018686389956</c:v>
                </c:pt>
                <c:pt idx="4">
                  <c:v>9.832740757938025</c:v>
                </c:pt>
                <c:pt idx="5">
                  <c:v>34.49971556601319</c:v>
                </c:pt>
                <c:pt idx="6">
                  <c:v>7.198140130145706</c:v>
                </c:pt>
                <c:pt idx="7">
                  <c:v>11.145660982586058</c:v>
                </c:pt>
                <c:pt idx="8">
                  <c:v>36.19612888547335</c:v>
                </c:pt>
                <c:pt idx="9">
                  <c:v>0</c:v>
                </c:pt>
              </c:numCache>
            </c:numRef>
          </c:val>
        </c:ser>
        <c:overlap val="100"/>
        <c:axId val="59289125"/>
        <c:axId val="63840078"/>
      </c:barChart>
      <c:catAx>
        <c:axId val="59289125"/>
        <c:scaling>
          <c:orientation val="minMax"/>
        </c:scaling>
        <c:axPos val="l"/>
        <c:delete val="0"/>
        <c:numFmt formatCode="General" sourceLinked="1"/>
        <c:majorTickMark val="out"/>
        <c:minorTickMark val="none"/>
        <c:tickLblPos val="nextTo"/>
        <c:crossAx val="63840078"/>
        <c:crosses val="autoZero"/>
        <c:auto val="1"/>
        <c:lblOffset val="100"/>
        <c:noMultiLvlLbl val="0"/>
      </c:catAx>
      <c:valAx>
        <c:axId val="63840078"/>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Utility (lower values preferred)</a:t>
                </a:r>
              </a:p>
            </c:rich>
          </c:tx>
          <c:layout/>
          <c:overlay val="0"/>
          <c:spPr>
            <a:noFill/>
            <a:ln>
              <a:noFill/>
            </a:ln>
          </c:spPr>
        </c:title>
        <c:majorGridlines>
          <c:spPr>
            <a:ln w="3175">
              <a:solidFill>
                <a:srgbClr val="333333"/>
              </a:solidFill>
              <a:prstDash val="sysDot"/>
            </a:ln>
          </c:spPr>
        </c:majorGridlines>
        <c:delete val="0"/>
        <c:numFmt formatCode="General" sourceLinked="1"/>
        <c:majorTickMark val="out"/>
        <c:minorTickMark val="none"/>
        <c:tickLblPos val="nextTo"/>
        <c:crossAx val="59289125"/>
        <c:crossesAt val="1"/>
        <c:crossBetween val="between"/>
        <c:dispUnits/>
      </c:valAx>
      <c:spPr>
        <a:noFill/>
        <a:ln w="12700">
          <a:solidFill>
            <a:srgbClr val="808080"/>
          </a:solidFill>
        </a:ln>
      </c:spPr>
    </c:plotArea>
    <c:legend>
      <c:legendPos val="r"/>
      <c:layout>
        <c:manualLayout>
          <c:xMode val="edge"/>
          <c:yMode val="edge"/>
          <c:x val="0.00675"/>
          <c:y val="0.792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725"/>
          <c:w val="0.927"/>
          <c:h val="0.91575"/>
        </c:manualLayout>
      </c:layout>
      <c:barChart>
        <c:barDir val="bar"/>
        <c:grouping val="stacked"/>
        <c:varyColors val="0"/>
        <c:ser>
          <c:idx val="0"/>
          <c:order val="0"/>
          <c:tx>
            <c:v>Public Health Risks</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Inputs'!$A$126:$A$135</c:f>
              <c:numCache>
                <c:ptCount val="10"/>
              </c:numCache>
            </c:numRef>
          </c:cat>
          <c:val>
            <c:numRef>
              <c:f>'Archived Inputs'!$C$126:$C$135</c:f>
              <c:numCache>
                <c:ptCount val="10"/>
                <c:pt idx="0">
                  <c:v>0</c:v>
                </c:pt>
                <c:pt idx="1">
                  <c:v>0</c:v>
                </c:pt>
                <c:pt idx="2">
                  <c:v>0</c:v>
                </c:pt>
                <c:pt idx="3">
                  <c:v>0</c:v>
                </c:pt>
                <c:pt idx="4">
                  <c:v>0</c:v>
                </c:pt>
                <c:pt idx="5">
                  <c:v>0</c:v>
                </c:pt>
                <c:pt idx="6">
                  <c:v>0</c:v>
                </c:pt>
                <c:pt idx="7">
                  <c:v>0</c:v>
                </c:pt>
                <c:pt idx="8">
                  <c:v>0</c:v>
                </c:pt>
                <c:pt idx="9">
                  <c:v>0</c:v>
                </c:pt>
              </c:numCache>
            </c:numRef>
          </c:val>
        </c:ser>
        <c:ser>
          <c:idx val="5"/>
          <c:order val="1"/>
          <c:tx>
            <c:v>Worker Health Risks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Inputs'!$A$126:$A$135</c:f>
              <c:numCache>
                <c:ptCount val="10"/>
              </c:numCache>
            </c:numRef>
          </c:cat>
          <c:val>
            <c:numRef>
              <c:f>'Archived Inputs'!$E$126:$E$135</c:f>
              <c:numCache>
                <c:ptCount val="10"/>
                <c:pt idx="0">
                  <c:v>0</c:v>
                </c:pt>
                <c:pt idx="1">
                  <c:v>0</c:v>
                </c:pt>
                <c:pt idx="2">
                  <c:v>0</c:v>
                </c:pt>
                <c:pt idx="3">
                  <c:v>0</c:v>
                </c:pt>
                <c:pt idx="4">
                  <c:v>0</c:v>
                </c:pt>
                <c:pt idx="5">
                  <c:v>0</c:v>
                </c:pt>
                <c:pt idx="6">
                  <c:v>0</c:v>
                </c:pt>
                <c:pt idx="7">
                  <c:v>0</c:v>
                </c:pt>
                <c:pt idx="8">
                  <c:v>0</c:v>
                </c:pt>
                <c:pt idx="9">
                  <c:v>0</c:v>
                </c:pt>
              </c:numCache>
            </c:numRef>
          </c:val>
        </c:ser>
        <c:ser>
          <c:idx val="1"/>
          <c:order val="2"/>
          <c:tx>
            <c:v>Environmental Risks</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Inputs'!$A$126:$A$135</c:f>
              <c:numCache>
                <c:ptCount val="10"/>
              </c:numCache>
            </c:numRef>
          </c:cat>
          <c:val>
            <c:numRef>
              <c:f>'Archived Inputs'!$G$126:$G$135</c:f>
              <c:numCache>
                <c:ptCount val="10"/>
                <c:pt idx="0">
                  <c:v>0</c:v>
                </c:pt>
                <c:pt idx="1">
                  <c:v>0</c:v>
                </c:pt>
                <c:pt idx="2">
                  <c:v>0</c:v>
                </c:pt>
                <c:pt idx="3">
                  <c:v>0</c:v>
                </c:pt>
                <c:pt idx="4">
                  <c:v>0</c:v>
                </c:pt>
                <c:pt idx="5">
                  <c:v>0</c:v>
                </c:pt>
                <c:pt idx="6">
                  <c:v>0</c:v>
                </c:pt>
                <c:pt idx="7">
                  <c:v>0</c:v>
                </c:pt>
                <c:pt idx="8">
                  <c:v>0</c:v>
                </c:pt>
                <c:pt idx="9">
                  <c:v>0</c:v>
                </c:pt>
              </c:numCache>
            </c:numRef>
          </c:val>
        </c:ser>
        <c:ser>
          <c:idx val="3"/>
          <c:order val="3"/>
          <c:tx>
            <c:v>Time</c:v>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Inputs'!$A$126:$A$135</c:f>
              <c:numCache>
                <c:ptCount val="10"/>
              </c:numCache>
            </c:numRef>
          </c:cat>
          <c:val>
            <c:numRef>
              <c:f>'Archived Inputs'!$K$126:$K$135</c:f>
              <c:numCache>
                <c:ptCount val="10"/>
                <c:pt idx="0">
                  <c:v>0</c:v>
                </c:pt>
                <c:pt idx="1">
                  <c:v>0</c:v>
                </c:pt>
                <c:pt idx="2">
                  <c:v>0</c:v>
                </c:pt>
                <c:pt idx="3">
                  <c:v>0</c:v>
                </c:pt>
                <c:pt idx="4">
                  <c:v>0</c:v>
                </c:pt>
                <c:pt idx="5">
                  <c:v>0</c:v>
                </c:pt>
                <c:pt idx="6">
                  <c:v>0</c:v>
                </c:pt>
                <c:pt idx="7">
                  <c:v>0</c:v>
                </c:pt>
                <c:pt idx="8">
                  <c:v>0</c:v>
                </c:pt>
                <c:pt idx="9">
                  <c:v>0</c:v>
                </c:pt>
              </c:numCache>
            </c:numRef>
          </c:val>
        </c:ser>
        <c:ser>
          <c:idx val="2"/>
          <c:order val="4"/>
          <c:tx>
            <c:v>Regulatory</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Inputs'!$A$126:$A$135</c:f>
              <c:numCache>
                <c:ptCount val="10"/>
              </c:numCache>
            </c:numRef>
          </c:cat>
          <c:val>
            <c:numRef>
              <c:f>'Archived Inputs'!$I$126:$I$135</c:f>
              <c:numCache>
                <c:ptCount val="10"/>
                <c:pt idx="0">
                  <c:v>0</c:v>
                </c:pt>
                <c:pt idx="1">
                  <c:v>0</c:v>
                </c:pt>
                <c:pt idx="2">
                  <c:v>0</c:v>
                </c:pt>
                <c:pt idx="3">
                  <c:v>0</c:v>
                </c:pt>
                <c:pt idx="4">
                  <c:v>0</c:v>
                </c:pt>
                <c:pt idx="5">
                  <c:v>0</c:v>
                </c:pt>
                <c:pt idx="6">
                  <c:v>0</c:v>
                </c:pt>
                <c:pt idx="7">
                  <c:v>0</c:v>
                </c:pt>
                <c:pt idx="8">
                  <c:v>0</c:v>
                </c:pt>
                <c:pt idx="9">
                  <c:v>0</c:v>
                </c:pt>
              </c:numCache>
            </c:numRef>
          </c:val>
        </c:ser>
        <c:ser>
          <c:idx val="4"/>
          <c:order val="5"/>
          <c:tx>
            <c:v>Costs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Inputs'!$A$126:$A$135</c:f>
              <c:numCache>
                <c:ptCount val="10"/>
              </c:numCache>
            </c:numRef>
          </c:cat>
          <c:val>
            <c:numRef>
              <c:f>'Archived Inputs'!$M$126:$M$135</c:f>
              <c:numCache>
                <c:ptCount val="10"/>
                <c:pt idx="0">
                  <c:v>0</c:v>
                </c:pt>
                <c:pt idx="1">
                  <c:v>0</c:v>
                </c:pt>
                <c:pt idx="2">
                  <c:v>0</c:v>
                </c:pt>
                <c:pt idx="3">
                  <c:v>0</c:v>
                </c:pt>
                <c:pt idx="4">
                  <c:v>0</c:v>
                </c:pt>
                <c:pt idx="5">
                  <c:v>0</c:v>
                </c:pt>
                <c:pt idx="6">
                  <c:v>0</c:v>
                </c:pt>
                <c:pt idx="7">
                  <c:v>0</c:v>
                </c:pt>
                <c:pt idx="8">
                  <c:v>0</c:v>
                </c:pt>
                <c:pt idx="9">
                  <c:v>0</c:v>
                </c:pt>
              </c:numCache>
            </c:numRef>
          </c:val>
        </c:ser>
        <c:overlap val="100"/>
        <c:axId val="37689791"/>
        <c:axId val="3663800"/>
      </c:barChart>
      <c:catAx>
        <c:axId val="37689791"/>
        <c:scaling>
          <c:orientation val="minMax"/>
        </c:scaling>
        <c:axPos val="l"/>
        <c:delete val="0"/>
        <c:numFmt formatCode="General" sourceLinked="1"/>
        <c:majorTickMark val="out"/>
        <c:minorTickMark val="none"/>
        <c:tickLblPos val="nextTo"/>
        <c:crossAx val="3663800"/>
        <c:crosses val="autoZero"/>
        <c:auto val="1"/>
        <c:lblOffset val="100"/>
        <c:noMultiLvlLbl val="0"/>
      </c:catAx>
      <c:valAx>
        <c:axId val="3663800"/>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Utility (lower values preferred)</a:t>
                </a:r>
              </a:p>
            </c:rich>
          </c:tx>
          <c:layout/>
          <c:overlay val="0"/>
          <c:spPr>
            <a:noFill/>
            <a:ln>
              <a:noFill/>
            </a:ln>
          </c:spPr>
        </c:title>
        <c:majorGridlines>
          <c:spPr>
            <a:ln w="3175">
              <a:solidFill>
                <a:srgbClr val="333333"/>
              </a:solidFill>
              <a:prstDash val="sysDot"/>
            </a:ln>
          </c:spPr>
        </c:majorGridlines>
        <c:delete val="0"/>
        <c:numFmt formatCode="General" sourceLinked="1"/>
        <c:majorTickMark val="out"/>
        <c:minorTickMark val="none"/>
        <c:tickLblPos val="nextTo"/>
        <c:crossAx val="37689791"/>
        <c:crossesAt val="1"/>
        <c:crossBetween val="between"/>
        <c:dispUnits/>
      </c:valAx>
      <c:spPr>
        <a:noFill/>
        <a:ln w="12700">
          <a:solidFill>
            <a:srgbClr val="808080"/>
          </a:solidFill>
        </a:ln>
      </c:spPr>
    </c:plotArea>
    <c:legend>
      <c:legendPos val="r"/>
      <c:layout>
        <c:manualLayout>
          <c:xMode val="edge"/>
          <c:yMode val="edge"/>
          <c:x val="0"/>
          <c:y val="0.792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725"/>
          <c:w val="0.95925"/>
          <c:h val="0.9165"/>
        </c:manualLayout>
      </c:layout>
      <c:barChart>
        <c:barDir val="bar"/>
        <c:grouping val="stacked"/>
        <c:varyColors val="0"/>
        <c:ser>
          <c:idx val="0"/>
          <c:order val="0"/>
          <c:tx>
            <c:v>Public Health Risks</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Inputs'!$A$138:$A$147</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Inputs'!$C$138:$C$147</c:f>
              <c:numCache>
                <c:ptCount val="10"/>
                <c:pt idx="0">
                  <c:v>9.404570657827366E-05</c:v>
                </c:pt>
                <c:pt idx="1">
                  <c:v>1.880914131565473E-10</c:v>
                </c:pt>
                <c:pt idx="2">
                  <c:v>1.880914131565473E-10</c:v>
                </c:pt>
                <c:pt idx="3">
                  <c:v>1.8809141315654732E-11</c:v>
                </c:pt>
                <c:pt idx="4">
                  <c:v>1.8809141315654732E-11</c:v>
                </c:pt>
                <c:pt idx="5">
                  <c:v>1.8809141315654732E-11</c:v>
                </c:pt>
                <c:pt idx="6">
                  <c:v>1.8809141315654732E-11</c:v>
                </c:pt>
                <c:pt idx="7">
                  <c:v>1.8809141315654732E-11</c:v>
                </c:pt>
                <c:pt idx="8">
                  <c:v>1.8809141315654732E-11</c:v>
                </c:pt>
                <c:pt idx="9">
                  <c:v>0</c:v>
                </c:pt>
              </c:numCache>
            </c:numRef>
          </c:val>
        </c:ser>
        <c:ser>
          <c:idx val="5"/>
          <c:order val="1"/>
          <c:tx>
            <c:v>Worker Health Risks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Inputs'!$A$138:$A$147</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Inputs'!$E$138:$E$147</c:f>
              <c:numCache>
                <c:ptCount val="10"/>
                <c:pt idx="0">
                  <c:v>0</c:v>
                </c:pt>
                <c:pt idx="1">
                  <c:v>0.0014652014652014652</c:v>
                </c:pt>
                <c:pt idx="2">
                  <c:v>0.0014652014652014652</c:v>
                </c:pt>
                <c:pt idx="3">
                  <c:v>0.014652014652014654</c:v>
                </c:pt>
                <c:pt idx="4">
                  <c:v>0.14652014652014653</c:v>
                </c:pt>
                <c:pt idx="5">
                  <c:v>0.04395604395604396</c:v>
                </c:pt>
                <c:pt idx="6">
                  <c:v>0.014652014652014654</c:v>
                </c:pt>
                <c:pt idx="7">
                  <c:v>0.14652014652014653</c:v>
                </c:pt>
                <c:pt idx="8">
                  <c:v>0.04395604395604396</c:v>
                </c:pt>
                <c:pt idx="9">
                  <c:v>0</c:v>
                </c:pt>
              </c:numCache>
            </c:numRef>
          </c:val>
        </c:ser>
        <c:ser>
          <c:idx val="1"/>
          <c:order val="2"/>
          <c:tx>
            <c:v>Environmental Risks</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Inputs'!$A$138:$A$147</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Inputs'!$G$138:$G$147</c:f>
              <c:numCache>
                <c:ptCount val="10"/>
                <c:pt idx="0">
                  <c:v>3.518518518518518</c:v>
                </c:pt>
                <c:pt idx="1">
                  <c:v>3.518518518518518</c:v>
                </c:pt>
                <c:pt idx="2">
                  <c:v>1.759259259259259</c:v>
                </c:pt>
                <c:pt idx="3">
                  <c:v>1.759259259259259</c:v>
                </c:pt>
                <c:pt idx="4">
                  <c:v>1.759259259259259</c:v>
                </c:pt>
                <c:pt idx="5">
                  <c:v>1.759259259259259</c:v>
                </c:pt>
                <c:pt idx="6">
                  <c:v>1.759259259259259</c:v>
                </c:pt>
                <c:pt idx="7">
                  <c:v>1.759259259259259</c:v>
                </c:pt>
                <c:pt idx="8">
                  <c:v>1.759259259259259</c:v>
                </c:pt>
                <c:pt idx="9">
                  <c:v>0</c:v>
                </c:pt>
              </c:numCache>
            </c:numRef>
          </c:val>
        </c:ser>
        <c:ser>
          <c:idx val="3"/>
          <c:order val="3"/>
          <c:tx>
            <c:v>Time</c:v>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Inputs'!$A$138:$A$147</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Inputs'!$K$138:$K$147</c:f>
              <c:numCache>
                <c:ptCount val="10"/>
                <c:pt idx="0">
                  <c:v>11.466666666666665</c:v>
                </c:pt>
                <c:pt idx="1">
                  <c:v>11.466666666666665</c:v>
                </c:pt>
                <c:pt idx="2">
                  <c:v>8</c:v>
                </c:pt>
                <c:pt idx="3">
                  <c:v>8</c:v>
                </c:pt>
                <c:pt idx="4">
                  <c:v>6.666666666666666</c:v>
                </c:pt>
                <c:pt idx="5">
                  <c:v>6.666666666666666</c:v>
                </c:pt>
                <c:pt idx="6">
                  <c:v>7.2</c:v>
                </c:pt>
                <c:pt idx="7">
                  <c:v>6.3999999999999995</c:v>
                </c:pt>
                <c:pt idx="8">
                  <c:v>6.3999999999999995</c:v>
                </c:pt>
                <c:pt idx="9">
                  <c:v>0</c:v>
                </c:pt>
              </c:numCache>
            </c:numRef>
          </c:val>
        </c:ser>
        <c:ser>
          <c:idx val="2"/>
          <c:order val="4"/>
          <c:tx>
            <c:v>Regulatory</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Inputs'!$A$138:$A$147</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Inputs'!$I$138:$I$147</c:f>
              <c:numCache>
                <c:ptCount val="10"/>
                <c:pt idx="0">
                  <c:v>266666666.66666666</c:v>
                </c:pt>
                <c:pt idx="1">
                  <c:v>16</c:v>
                </c:pt>
                <c:pt idx="2">
                  <c:v>8</c:v>
                </c:pt>
                <c:pt idx="3">
                  <c:v>0</c:v>
                </c:pt>
                <c:pt idx="4">
                  <c:v>0</c:v>
                </c:pt>
                <c:pt idx="5">
                  <c:v>0</c:v>
                </c:pt>
                <c:pt idx="6">
                  <c:v>0</c:v>
                </c:pt>
                <c:pt idx="7">
                  <c:v>0</c:v>
                </c:pt>
                <c:pt idx="8">
                  <c:v>0</c:v>
                </c:pt>
                <c:pt idx="9">
                  <c:v>0</c:v>
                </c:pt>
              </c:numCache>
            </c:numRef>
          </c:val>
        </c:ser>
        <c:ser>
          <c:idx val="4"/>
          <c:order val="5"/>
          <c:tx>
            <c:v>Costs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Inputs'!$A$138:$A$147</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Inputs'!$M$138:$M$147</c:f>
              <c:numCache>
                <c:ptCount val="10"/>
                <c:pt idx="0">
                  <c:v>0</c:v>
                </c:pt>
                <c:pt idx="1">
                  <c:v>9.92733574787135</c:v>
                </c:pt>
                <c:pt idx="2">
                  <c:v>15.767801761510448</c:v>
                </c:pt>
                <c:pt idx="3">
                  <c:v>21.057720106033447</c:v>
                </c:pt>
                <c:pt idx="4">
                  <c:v>35.13566030836521</c:v>
                </c:pt>
                <c:pt idx="5">
                  <c:v>123.2789836225538</c:v>
                </c:pt>
                <c:pt idx="6">
                  <c:v>25.72135406505399</c:v>
                </c:pt>
                <c:pt idx="7">
                  <c:v>39.82716191110752</c:v>
                </c:pt>
                <c:pt idx="8">
                  <c:v>129.34083388409144</c:v>
                </c:pt>
                <c:pt idx="9">
                  <c:v>0</c:v>
                </c:pt>
              </c:numCache>
            </c:numRef>
          </c:val>
        </c:ser>
        <c:overlap val="100"/>
        <c:axId val="32974201"/>
        <c:axId val="28332354"/>
      </c:barChart>
      <c:catAx>
        <c:axId val="32974201"/>
        <c:scaling>
          <c:orientation val="minMax"/>
        </c:scaling>
        <c:axPos val="l"/>
        <c:delete val="0"/>
        <c:numFmt formatCode="General" sourceLinked="1"/>
        <c:majorTickMark val="out"/>
        <c:minorTickMark val="none"/>
        <c:tickLblPos val="nextTo"/>
        <c:crossAx val="28332354"/>
        <c:crosses val="autoZero"/>
        <c:auto val="1"/>
        <c:lblOffset val="100"/>
        <c:noMultiLvlLbl val="0"/>
      </c:catAx>
      <c:valAx>
        <c:axId val="28332354"/>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Utility (lower values preferred)</a:t>
                </a:r>
              </a:p>
            </c:rich>
          </c:tx>
          <c:layout/>
          <c:overlay val="0"/>
          <c:spPr>
            <a:noFill/>
            <a:ln>
              <a:noFill/>
            </a:ln>
          </c:spPr>
        </c:title>
        <c:majorGridlines>
          <c:spPr>
            <a:ln w="3175">
              <a:solidFill>
                <a:srgbClr val="333333"/>
              </a:solidFill>
              <a:prstDash val="sysDot"/>
            </a:ln>
          </c:spPr>
        </c:majorGridlines>
        <c:delete val="0"/>
        <c:numFmt formatCode="General" sourceLinked="1"/>
        <c:majorTickMark val="out"/>
        <c:minorTickMark val="none"/>
        <c:tickLblPos val="nextTo"/>
        <c:crossAx val="32974201"/>
        <c:crossesAt val="1"/>
        <c:crossBetween val="between"/>
        <c:dispUnits/>
      </c:valAx>
      <c:spPr>
        <a:noFill/>
        <a:ln w="12700">
          <a:solidFill>
            <a:srgbClr val="808080"/>
          </a:solidFill>
        </a:ln>
      </c:spPr>
    </c:plotArea>
    <c:legend>
      <c:legendPos val="r"/>
      <c:layout>
        <c:manualLayout>
          <c:xMode val="edge"/>
          <c:yMode val="edge"/>
          <c:x val="0.00775"/>
          <c:y val="0.79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'User-specified Time value'!$A$11:$A$15</c:f>
              <c:strCache/>
            </c:strRef>
          </c:cat>
          <c:val>
            <c:numRef>
              <c:f>'User-specified Time value'!$C$11:$C$15</c:f>
              <c:numCache>
                <c:ptCount val="5"/>
                <c:pt idx="0">
                  <c:v>0</c:v>
                </c:pt>
                <c:pt idx="1">
                  <c:v>0</c:v>
                </c:pt>
                <c:pt idx="2">
                  <c:v>0</c:v>
                </c:pt>
                <c:pt idx="3">
                  <c:v>0</c:v>
                </c:pt>
                <c:pt idx="4">
                  <c:v>0</c:v>
                </c:pt>
              </c:numCache>
            </c:numRef>
          </c:val>
          <c:smooth val="0"/>
        </c:ser>
        <c:marker val="1"/>
        <c:axId val="26435359"/>
        <c:axId val="36591640"/>
      </c:lineChart>
      <c:catAx>
        <c:axId val="26435359"/>
        <c:scaling>
          <c:orientation val="minMax"/>
        </c:scaling>
        <c:axPos val="b"/>
        <c:title>
          <c:tx>
            <c:rich>
              <a:bodyPr vert="horz" rot="0" anchor="ctr"/>
              <a:lstStyle/>
              <a:p>
                <a:pPr algn="ctr">
                  <a:defRPr/>
                </a:pPr>
                <a:r>
                  <a:rPr lang="en-US" cap="none" sz="800" b="1" i="0" u="none" baseline="0">
                    <a:latin typeface="Arial"/>
                    <a:ea typeface="Arial"/>
                    <a:cs typeface="Arial"/>
                  </a:rPr>
                  <a:t>Time to completion</a:t>
                </a:r>
              </a:p>
            </c:rich>
          </c:tx>
          <c:layout/>
          <c:overlay val="0"/>
          <c:spPr>
            <a:noFill/>
            <a:ln>
              <a:noFill/>
            </a:ln>
          </c:spPr>
        </c:title>
        <c:delete val="0"/>
        <c:numFmt formatCode="General" sourceLinked="1"/>
        <c:majorTickMark val="out"/>
        <c:minorTickMark val="none"/>
        <c:tickLblPos val="nextTo"/>
        <c:crossAx val="36591640"/>
        <c:crosses val="autoZero"/>
        <c:auto val="1"/>
        <c:lblOffset val="100"/>
        <c:noMultiLvlLbl val="0"/>
      </c:catAx>
      <c:valAx>
        <c:axId val="36591640"/>
        <c:scaling>
          <c:orientation val="minMax"/>
          <c:max val="100"/>
        </c:scaling>
        <c:axPos val="l"/>
        <c:title>
          <c:tx>
            <c:rich>
              <a:bodyPr vert="horz" rot="-5400000" anchor="ctr"/>
              <a:lstStyle/>
              <a:p>
                <a:pPr algn="ctr">
                  <a:defRPr/>
                </a:pPr>
                <a:r>
                  <a:rPr lang="en-US" cap="none" sz="800" b="1" i="0" u="none" baseline="0">
                    <a:latin typeface="Arial"/>
                    <a:ea typeface="Arial"/>
                    <a:cs typeface="Arial"/>
                  </a:rPr>
                  <a:t>V(Time)</a:t>
                </a:r>
              </a:p>
            </c:rich>
          </c:tx>
          <c:layout/>
          <c:overlay val="0"/>
          <c:spPr>
            <a:noFill/>
            <a:ln>
              <a:noFill/>
            </a:ln>
          </c:spPr>
        </c:title>
        <c:majorGridlines/>
        <c:delete val="0"/>
        <c:numFmt formatCode="General" sourceLinked="1"/>
        <c:majorTickMark val="out"/>
        <c:minorTickMark val="none"/>
        <c:tickLblPos val="nextTo"/>
        <c:crossAx val="2643535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725"/>
          <c:w val="0.95925"/>
          <c:h val="0.9165"/>
        </c:manualLayout>
      </c:layout>
      <c:barChart>
        <c:barDir val="bar"/>
        <c:grouping val="stacked"/>
        <c:varyColors val="0"/>
        <c:ser>
          <c:idx val="0"/>
          <c:order val="0"/>
          <c:tx>
            <c:v>Public Health Risks</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Inputs'!$A$148:$A$157</c:f>
              <c:numCache>
                <c:ptCount val="10"/>
              </c:numCache>
            </c:numRef>
          </c:cat>
          <c:val>
            <c:numRef>
              <c:f>'Archived Inputs'!$C$148:$C$157</c:f>
              <c:numCache>
                <c:ptCount val="10"/>
                <c:pt idx="0">
                  <c:v>0</c:v>
                </c:pt>
                <c:pt idx="1">
                  <c:v>0</c:v>
                </c:pt>
                <c:pt idx="2">
                  <c:v>0</c:v>
                </c:pt>
                <c:pt idx="3">
                  <c:v>0</c:v>
                </c:pt>
                <c:pt idx="4">
                  <c:v>0</c:v>
                </c:pt>
                <c:pt idx="5">
                  <c:v>0</c:v>
                </c:pt>
                <c:pt idx="6">
                  <c:v>0</c:v>
                </c:pt>
                <c:pt idx="7">
                  <c:v>0</c:v>
                </c:pt>
                <c:pt idx="8">
                  <c:v>0</c:v>
                </c:pt>
                <c:pt idx="9">
                  <c:v>0</c:v>
                </c:pt>
              </c:numCache>
            </c:numRef>
          </c:val>
        </c:ser>
        <c:ser>
          <c:idx val="5"/>
          <c:order val="1"/>
          <c:tx>
            <c:v>Worker Health Risks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Inputs'!$A$148:$A$157</c:f>
              <c:numCache>
                <c:ptCount val="10"/>
              </c:numCache>
            </c:numRef>
          </c:cat>
          <c:val>
            <c:numRef>
              <c:f>'Archived Inputs'!$E$148:$E$157</c:f>
              <c:numCache>
                <c:ptCount val="10"/>
                <c:pt idx="0">
                  <c:v>0</c:v>
                </c:pt>
                <c:pt idx="1">
                  <c:v>0</c:v>
                </c:pt>
                <c:pt idx="2">
                  <c:v>0</c:v>
                </c:pt>
                <c:pt idx="3">
                  <c:v>0</c:v>
                </c:pt>
                <c:pt idx="4">
                  <c:v>0</c:v>
                </c:pt>
                <c:pt idx="5">
                  <c:v>0</c:v>
                </c:pt>
                <c:pt idx="6">
                  <c:v>0</c:v>
                </c:pt>
                <c:pt idx="7">
                  <c:v>0</c:v>
                </c:pt>
                <c:pt idx="8">
                  <c:v>0</c:v>
                </c:pt>
                <c:pt idx="9">
                  <c:v>0</c:v>
                </c:pt>
              </c:numCache>
            </c:numRef>
          </c:val>
        </c:ser>
        <c:ser>
          <c:idx val="1"/>
          <c:order val="2"/>
          <c:tx>
            <c:v>Environmental Risks</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Inputs'!$A$148:$A$157</c:f>
              <c:numCache>
                <c:ptCount val="10"/>
              </c:numCache>
            </c:numRef>
          </c:cat>
          <c:val>
            <c:numRef>
              <c:f>'Archived Inputs'!$G$148:$G$157</c:f>
              <c:numCache>
                <c:ptCount val="10"/>
                <c:pt idx="0">
                  <c:v>0</c:v>
                </c:pt>
                <c:pt idx="1">
                  <c:v>0</c:v>
                </c:pt>
                <c:pt idx="2">
                  <c:v>0</c:v>
                </c:pt>
                <c:pt idx="3">
                  <c:v>0</c:v>
                </c:pt>
                <c:pt idx="4">
                  <c:v>0</c:v>
                </c:pt>
                <c:pt idx="5">
                  <c:v>0</c:v>
                </c:pt>
                <c:pt idx="6">
                  <c:v>0</c:v>
                </c:pt>
                <c:pt idx="7">
                  <c:v>0</c:v>
                </c:pt>
                <c:pt idx="8">
                  <c:v>0</c:v>
                </c:pt>
                <c:pt idx="9">
                  <c:v>0</c:v>
                </c:pt>
              </c:numCache>
            </c:numRef>
          </c:val>
        </c:ser>
        <c:ser>
          <c:idx val="3"/>
          <c:order val="3"/>
          <c:tx>
            <c:v>Time</c:v>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Inputs'!$A$148:$A$157</c:f>
              <c:numCache>
                <c:ptCount val="10"/>
              </c:numCache>
            </c:numRef>
          </c:cat>
          <c:val>
            <c:numRef>
              <c:f>'Archived Inputs'!$K$148:$K$157</c:f>
              <c:numCache>
                <c:ptCount val="10"/>
                <c:pt idx="0">
                  <c:v>0</c:v>
                </c:pt>
                <c:pt idx="1">
                  <c:v>0</c:v>
                </c:pt>
                <c:pt idx="2">
                  <c:v>0</c:v>
                </c:pt>
                <c:pt idx="3">
                  <c:v>0</c:v>
                </c:pt>
                <c:pt idx="4">
                  <c:v>0</c:v>
                </c:pt>
                <c:pt idx="5">
                  <c:v>0</c:v>
                </c:pt>
                <c:pt idx="6">
                  <c:v>0</c:v>
                </c:pt>
                <c:pt idx="7">
                  <c:v>0</c:v>
                </c:pt>
                <c:pt idx="8">
                  <c:v>0</c:v>
                </c:pt>
                <c:pt idx="9">
                  <c:v>0</c:v>
                </c:pt>
              </c:numCache>
            </c:numRef>
          </c:val>
        </c:ser>
        <c:ser>
          <c:idx val="2"/>
          <c:order val="4"/>
          <c:tx>
            <c:v>Regulatory</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Inputs'!$A$148:$A$157</c:f>
              <c:numCache>
                <c:ptCount val="10"/>
              </c:numCache>
            </c:numRef>
          </c:cat>
          <c:val>
            <c:numRef>
              <c:f>'Archived Inputs'!$I$148:$I$157</c:f>
              <c:numCache>
                <c:ptCount val="10"/>
                <c:pt idx="0">
                  <c:v>0</c:v>
                </c:pt>
                <c:pt idx="1">
                  <c:v>0</c:v>
                </c:pt>
                <c:pt idx="2">
                  <c:v>0</c:v>
                </c:pt>
                <c:pt idx="3">
                  <c:v>0</c:v>
                </c:pt>
                <c:pt idx="4">
                  <c:v>0</c:v>
                </c:pt>
                <c:pt idx="5">
                  <c:v>0</c:v>
                </c:pt>
                <c:pt idx="6">
                  <c:v>0</c:v>
                </c:pt>
                <c:pt idx="7">
                  <c:v>0</c:v>
                </c:pt>
                <c:pt idx="8">
                  <c:v>0</c:v>
                </c:pt>
                <c:pt idx="9">
                  <c:v>0</c:v>
                </c:pt>
              </c:numCache>
            </c:numRef>
          </c:val>
        </c:ser>
        <c:ser>
          <c:idx val="4"/>
          <c:order val="5"/>
          <c:tx>
            <c:v>Costs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Inputs'!$A$148:$A$157</c:f>
              <c:numCache>
                <c:ptCount val="10"/>
              </c:numCache>
            </c:numRef>
          </c:cat>
          <c:val>
            <c:numRef>
              <c:f>'Archived Inputs'!$M$148:$M$157</c:f>
              <c:numCache>
                <c:ptCount val="10"/>
                <c:pt idx="0">
                  <c:v>0</c:v>
                </c:pt>
                <c:pt idx="1">
                  <c:v>0</c:v>
                </c:pt>
                <c:pt idx="2">
                  <c:v>0</c:v>
                </c:pt>
                <c:pt idx="3">
                  <c:v>0</c:v>
                </c:pt>
                <c:pt idx="4">
                  <c:v>0</c:v>
                </c:pt>
                <c:pt idx="5">
                  <c:v>0</c:v>
                </c:pt>
                <c:pt idx="6">
                  <c:v>0</c:v>
                </c:pt>
                <c:pt idx="7">
                  <c:v>0</c:v>
                </c:pt>
                <c:pt idx="8">
                  <c:v>0</c:v>
                </c:pt>
                <c:pt idx="9">
                  <c:v>0</c:v>
                </c:pt>
              </c:numCache>
            </c:numRef>
          </c:val>
        </c:ser>
        <c:overlap val="100"/>
        <c:axId val="53664595"/>
        <c:axId val="13219308"/>
      </c:barChart>
      <c:catAx>
        <c:axId val="53664595"/>
        <c:scaling>
          <c:orientation val="minMax"/>
        </c:scaling>
        <c:axPos val="l"/>
        <c:delete val="0"/>
        <c:numFmt formatCode="General" sourceLinked="1"/>
        <c:majorTickMark val="out"/>
        <c:minorTickMark val="none"/>
        <c:tickLblPos val="nextTo"/>
        <c:crossAx val="13219308"/>
        <c:crosses val="autoZero"/>
        <c:auto val="1"/>
        <c:lblOffset val="100"/>
        <c:noMultiLvlLbl val="0"/>
      </c:catAx>
      <c:valAx>
        <c:axId val="13219308"/>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Utility (lower values preferred)</a:t>
                </a:r>
              </a:p>
            </c:rich>
          </c:tx>
          <c:layout/>
          <c:overlay val="0"/>
          <c:spPr>
            <a:noFill/>
            <a:ln>
              <a:noFill/>
            </a:ln>
          </c:spPr>
        </c:title>
        <c:majorGridlines>
          <c:spPr>
            <a:ln w="3175">
              <a:solidFill>
                <a:srgbClr val="333333"/>
              </a:solidFill>
              <a:prstDash val="sysDot"/>
            </a:ln>
          </c:spPr>
        </c:majorGridlines>
        <c:delete val="0"/>
        <c:numFmt formatCode="General" sourceLinked="1"/>
        <c:majorTickMark val="out"/>
        <c:minorTickMark val="none"/>
        <c:tickLblPos val="nextTo"/>
        <c:crossAx val="53664595"/>
        <c:crossesAt val="1"/>
        <c:crossBetween val="between"/>
        <c:dispUnits/>
      </c:valAx>
      <c:spPr>
        <a:noFill/>
        <a:ln w="12700">
          <a:solidFill>
            <a:srgbClr val="808080"/>
          </a:solidFill>
        </a:ln>
      </c:spPr>
    </c:plotArea>
    <c:legend>
      <c:legendPos val="r"/>
      <c:layout>
        <c:manualLayout>
          <c:xMode val="edge"/>
          <c:yMode val="edge"/>
          <c:x val="0"/>
          <c:y val="0.79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725"/>
          <c:w val="0.9455"/>
          <c:h val="0.91575"/>
        </c:manualLayout>
      </c:layout>
      <c:barChart>
        <c:barDir val="bar"/>
        <c:grouping val="stacked"/>
        <c:varyColors val="0"/>
        <c:ser>
          <c:idx val="0"/>
          <c:order val="0"/>
          <c:tx>
            <c:v>Public Health Risks</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Inputs'!$A$160:$A$169</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Inputs'!$C$160:$C$169</c:f>
              <c:numCache>
                <c:ptCount val="10"/>
                <c:pt idx="0">
                  <c:v>0.00016403320914815174</c:v>
                </c:pt>
                <c:pt idx="1">
                  <c:v>3.280664182963034E-10</c:v>
                </c:pt>
                <c:pt idx="2">
                  <c:v>3.280664182963034E-10</c:v>
                </c:pt>
                <c:pt idx="3">
                  <c:v>3.280664182963035E-11</c:v>
                </c:pt>
                <c:pt idx="4">
                  <c:v>3.280664182963035E-11</c:v>
                </c:pt>
                <c:pt idx="5">
                  <c:v>3.280664182963035E-11</c:v>
                </c:pt>
                <c:pt idx="6">
                  <c:v>3.280664182963035E-11</c:v>
                </c:pt>
                <c:pt idx="7">
                  <c:v>3.280664182963035E-11</c:v>
                </c:pt>
                <c:pt idx="8">
                  <c:v>3.280664182963035E-11</c:v>
                </c:pt>
                <c:pt idx="9">
                  <c:v>0</c:v>
                </c:pt>
              </c:numCache>
            </c:numRef>
          </c:val>
        </c:ser>
        <c:ser>
          <c:idx val="5"/>
          <c:order val="1"/>
          <c:tx>
            <c:v>Worker Health Risks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Inputs'!$A$160:$A$169</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Inputs'!$E$160:$E$169</c:f>
              <c:numCache>
                <c:ptCount val="10"/>
                <c:pt idx="0">
                  <c:v>0</c:v>
                </c:pt>
                <c:pt idx="1">
                  <c:v>0.0025555839509327884</c:v>
                </c:pt>
                <c:pt idx="2">
                  <c:v>0.0025555839509327884</c:v>
                </c:pt>
                <c:pt idx="3">
                  <c:v>0.025555839509327882</c:v>
                </c:pt>
                <c:pt idx="4">
                  <c:v>0.2555583950932788</c:v>
                </c:pt>
                <c:pt idx="5">
                  <c:v>0.07666751852798365</c:v>
                </c:pt>
                <c:pt idx="6">
                  <c:v>0.025555839509327882</c:v>
                </c:pt>
                <c:pt idx="7">
                  <c:v>0.2555583950932788</c:v>
                </c:pt>
                <c:pt idx="8">
                  <c:v>0.07666751852798365</c:v>
                </c:pt>
                <c:pt idx="9">
                  <c:v>0</c:v>
                </c:pt>
              </c:numCache>
            </c:numRef>
          </c:val>
        </c:ser>
        <c:ser>
          <c:idx val="1"/>
          <c:order val="2"/>
          <c:tx>
            <c:v>Environmental Risks</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Inputs'!$A$160:$A$169</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Inputs'!$G$160:$G$169</c:f>
              <c:numCache>
                <c:ptCount val="10"/>
                <c:pt idx="0">
                  <c:v>6.136950904392766</c:v>
                </c:pt>
                <c:pt idx="1">
                  <c:v>6.136950904392766</c:v>
                </c:pt>
                <c:pt idx="2">
                  <c:v>3.068475452196383</c:v>
                </c:pt>
                <c:pt idx="3">
                  <c:v>3.068475452196383</c:v>
                </c:pt>
                <c:pt idx="4">
                  <c:v>3.068475452196383</c:v>
                </c:pt>
                <c:pt idx="5">
                  <c:v>3.068475452196383</c:v>
                </c:pt>
                <c:pt idx="6">
                  <c:v>3.068475452196383</c:v>
                </c:pt>
                <c:pt idx="7">
                  <c:v>3.068475452196383</c:v>
                </c:pt>
                <c:pt idx="8">
                  <c:v>3.068475452196383</c:v>
                </c:pt>
                <c:pt idx="9">
                  <c:v>0</c:v>
                </c:pt>
              </c:numCache>
            </c:numRef>
          </c:val>
        </c:ser>
        <c:ser>
          <c:idx val="3"/>
          <c:order val="3"/>
          <c:tx>
            <c:v>Time</c:v>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Inputs'!$A$160:$A$169</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Inputs'!$K$160:$K$169</c:f>
              <c:numCache>
                <c:ptCount val="10"/>
                <c:pt idx="0">
                  <c:v>2.8571428571428568</c:v>
                </c:pt>
                <c:pt idx="1">
                  <c:v>2.8571428571428568</c:v>
                </c:pt>
                <c:pt idx="2">
                  <c:v>1.9933554817275747</c:v>
                </c:pt>
                <c:pt idx="3">
                  <c:v>1.9933554817275747</c:v>
                </c:pt>
                <c:pt idx="4">
                  <c:v>1.661129568106312</c:v>
                </c:pt>
                <c:pt idx="5">
                  <c:v>1.661129568106312</c:v>
                </c:pt>
                <c:pt idx="6">
                  <c:v>1.794019933554817</c:v>
                </c:pt>
                <c:pt idx="7">
                  <c:v>1.5946843853820596</c:v>
                </c:pt>
                <c:pt idx="8">
                  <c:v>1.5946843853820596</c:v>
                </c:pt>
                <c:pt idx="9">
                  <c:v>0</c:v>
                </c:pt>
              </c:numCache>
            </c:numRef>
          </c:val>
        </c:ser>
        <c:ser>
          <c:idx val="2"/>
          <c:order val="4"/>
          <c:tx>
            <c:v>Regulatory</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Inputs'!$A$160:$A$169</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Inputs'!$I$160:$I$169</c:f>
              <c:numCache>
                <c:ptCount val="10"/>
                <c:pt idx="0">
                  <c:v>93023255.81395349</c:v>
                </c:pt>
                <c:pt idx="1">
                  <c:v>5.5813953488372094</c:v>
                </c:pt>
                <c:pt idx="2">
                  <c:v>2.7906976744186047</c:v>
                </c:pt>
                <c:pt idx="3">
                  <c:v>0</c:v>
                </c:pt>
                <c:pt idx="4">
                  <c:v>0</c:v>
                </c:pt>
                <c:pt idx="5">
                  <c:v>0</c:v>
                </c:pt>
                <c:pt idx="6">
                  <c:v>0</c:v>
                </c:pt>
                <c:pt idx="7">
                  <c:v>0</c:v>
                </c:pt>
                <c:pt idx="8">
                  <c:v>0</c:v>
                </c:pt>
                <c:pt idx="9">
                  <c:v>0</c:v>
                </c:pt>
              </c:numCache>
            </c:numRef>
          </c:val>
        </c:ser>
        <c:ser>
          <c:idx val="4"/>
          <c:order val="5"/>
          <c:tx>
            <c:v>Costs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Inputs'!$A$160:$A$169</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Inputs'!$M$160:$M$169</c:f>
              <c:numCache>
                <c:ptCount val="10"/>
                <c:pt idx="0">
                  <c:v>0</c:v>
                </c:pt>
                <c:pt idx="1">
                  <c:v>17.315120490473284</c:v>
                </c:pt>
                <c:pt idx="2">
                  <c:v>27.50197981658799</c:v>
                </c:pt>
                <c:pt idx="3">
                  <c:v>36.72858158029089</c:v>
                </c:pt>
                <c:pt idx="4">
                  <c:v>61.283128444823035</c:v>
                </c:pt>
                <c:pt idx="5">
                  <c:v>215.02148306259383</c:v>
                </c:pt>
                <c:pt idx="6">
                  <c:v>44.862826857652315</c:v>
                </c:pt>
                <c:pt idx="7">
                  <c:v>69.46598007751311</c:v>
                </c:pt>
                <c:pt idx="8">
                  <c:v>225.59447770481066</c:v>
                </c:pt>
                <c:pt idx="9">
                  <c:v>0</c:v>
                </c:pt>
              </c:numCache>
            </c:numRef>
          </c:val>
        </c:ser>
        <c:overlap val="100"/>
        <c:axId val="51864909"/>
        <c:axId val="64130998"/>
      </c:barChart>
      <c:catAx>
        <c:axId val="51864909"/>
        <c:scaling>
          <c:orientation val="minMax"/>
        </c:scaling>
        <c:axPos val="l"/>
        <c:delete val="0"/>
        <c:numFmt formatCode="General" sourceLinked="1"/>
        <c:majorTickMark val="out"/>
        <c:minorTickMark val="none"/>
        <c:tickLblPos val="nextTo"/>
        <c:crossAx val="64130998"/>
        <c:crosses val="autoZero"/>
        <c:auto val="1"/>
        <c:lblOffset val="100"/>
        <c:noMultiLvlLbl val="0"/>
      </c:catAx>
      <c:valAx>
        <c:axId val="64130998"/>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Utility (lower values preferred)</a:t>
                </a:r>
              </a:p>
            </c:rich>
          </c:tx>
          <c:layout/>
          <c:overlay val="0"/>
          <c:spPr>
            <a:noFill/>
            <a:ln>
              <a:noFill/>
            </a:ln>
          </c:spPr>
        </c:title>
        <c:majorGridlines>
          <c:spPr>
            <a:ln w="3175">
              <a:solidFill>
                <a:srgbClr val="333333"/>
              </a:solidFill>
              <a:prstDash val="sysDot"/>
            </a:ln>
          </c:spPr>
        </c:majorGridlines>
        <c:delete val="0"/>
        <c:numFmt formatCode="General" sourceLinked="1"/>
        <c:majorTickMark val="out"/>
        <c:minorTickMark val="none"/>
        <c:tickLblPos val="nextTo"/>
        <c:crossAx val="51864909"/>
        <c:crossesAt val="1"/>
        <c:crossBetween val="between"/>
        <c:dispUnits/>
      </c:valAx>
      <c:spPr>
        <a:noFill/>
        <a:ln w="12700">
          <a:solidFill>
            <a:srgbClr val="808080"/>
          </a:solidFill>
        </a:ln>
      </c:spPr>
    </c:plotArea>
    <c:legend>
      <c:legendPos val="r"/>
      <c:layout>
        <c:manualLayout>
          <c:xMode val="edge"/>
          <c:yMode val="edge"/>
          <c:x val="0.0045"/>
          <c:y val="0.79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725"/>
          <c:w val="0.9455"/>
          <c:h val="0.91575"/>
        </c:manualLayout>
      </c:layout>
      <c:barChart>
        <c:barDir val="bar"/>
        <c:grouping val="stacked"/>
        <c:varyColors val="0"/>
        <c:ser>
          <c:idx val="0"/>
          <c:order val="0"/>
          <c:tx>
            <c:v>Public Health Risks</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Inputs'!$A$170:$A$179</c:f>
              <c:numCache>
                <c:ptCount val="10"/>
              </c:numCache>
            </c:numRef>
          </c:cat>
          <c:val>
            <c:numRef>
              <c:f>'Archived Inputs'!$C$170:$C$179</c:f>
              <c:numCache>
                <c:ptCount val="10"/>
                <c:pt idx="0">
                  <c:v>0</c:v>
                </c:pt>
                <c:pt idx="1">
                  <c:v>0</c:v>
                </c:pt>
                <c:pt idx="2">
                  <c:v>0</c:v>
                </c:pt>
                <c:pt idx="3">
                  <c:v>0</c:v>
                </c:pt>
                <c:pt idx="4">
                  <c:v>0</c:v>
                </c:pt>
                <c:pt idx="5">
                  <c:v>0</c:v>
                </c:pt>
                <c:pt idx="6">
                  <c:v>0</c:v>
                </c:pt>
                <c:pt idx="7">
                  <c:v>0</c:v>
                </c:pt>
                <c:pt idx="8">
                  <c:v>0</c:v>
                </c:pt>
                <c:pt idx="9">
                  <c:v>0</c:v>
                </c:pt>
              </c:numCache>
            </c:numRef>
          </c:val>
        </c:ser>
        <c:ser>
          <c:idx val="5"/>
          <c:order val="1"/>
          <c:tx>
            <c:v>Worker Health Risks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Inputs'!$A$170:$A$179</c:f>
              <c:numCache>
                <c:ptCount val="10"/>
              </c:numCache>
            </c:numRef>
          </c:cat>
          <c:val>
            <c:numRef>
              <c:f>'Archived Inputs'!$E$170:$E$179</c:f>
              <c:numCache>
                <c:ptCount val="10"/>
                <c:pt idx="0">
                  <c:v>0</c:v>
                </c:pt>
                <c:pt idx="1">
                  <c:v>0</c:v>
                </c:pt>
                <c:pt idx="2">
                  <c:v>0</c:v>
                </c:pt>
                <c:pt idx="3">
                  <c:v>0</c:v>
                </c:pt>
                <c:pt idx="4">
                  <c:v>0</c:v>
                </c:pt>
                <c:pt idx="5">
                  <c:v>0</c:v>
                </c:pt>
                <c:pt idx="6">
                  <c:v>0</c:v>
                </c:pt>
                <c:pt idx="7">
                  <c:v>0</c:v>
                </c:pt>
                <c:pt idx="8">
                  <c:v>0</c:v>
                </c:pt>
                <c:pt idx="9">
                  <c:v>0</c:v>
                </c:pt>
              </c:numCache>
            </c:numRef>
          </c:val>
        </c:ser>
        <c:ser>
          <c:idx val="1"/>
          <c:order val="2"/>
          <c:tx>
            <c:v>Environmental Risks</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Inputs'!$A$170:$A$179</c:f>
              <c:numCache>
                <c:ptCount val="10"/>
              </c:numCache>
            </c:numRef>
          </c:cat>
          <c:val>
            <c:numRef>
              <c:f>'Archived Inputs'!$G$170:$G$179</c:f>
              <c:numCache>
                <c:ptCount val="10"/>
                <c:pt idx="0">
                  <c:v>0</c:v>
                </c:pt>
                <c:pt idx="1">
                  <c:v>0</c:v>
                </c:pt>
                <c:pt idx="2">
                  <c:v>0</c:v>
                </c:pt>
                <c:pt idx="3">
                  <c:v>0</c:v>
                </c:pt>
                <c:pt idx="4">
                  <c:v>0</c:v>
                </c:pt>
                <c:pt idx="5">
                  <c:v>0</c:v>
                </c:pt>
                <c:pt idx="6">
                  <c:v>0</c:v>
                </c:pt>
                <c:pt idx="7">
                  <c:v>0</c:v>
                </c:pt>
                <c:pt idx="8">
                  <c:v>0</c:v>
                </c:pt>
                <c:pt idx="9">
                  <c:v>0</c:v>
                </c:pt>
              </c:numCache>
            </c:numRef>
          </c:val>
        </c:ser>
        <c:ser>
          <c:idx val="3"/>
          <c:order val="3"/>
          <c:tx>
            <c:v>Time</c:v>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Inputs'!$A$170:$A$179</c:f>
              <c:numCache>
                <c:ptCount val="10"/>
              </c:numCache>
            </c:numRef>
          </c:cat>
          <c:val>
            <c:numRef>
              <c:f>'Archived Inputs'!$K$170:$K$179</c:f>
              <c:numCache>
                <c:ptCount val="10"/>
                <c:pt idx="0">
                  <c:v>0</c:v>
                </c:pt>
                <c:pt idx="1">
                  <c:v>0</c:v>
                </c:pt>
                <c:pt idx="2">
                  <c:v>0</c:v>
                </c:pt>
                <c:pt idx="3">
                  <c:v>0</c:v>
                </c:pt>
                <c:pt idx="4">
                  <c:v>0</c:v>
                </c:pt>
                <c:pt idx="5">
                  <c:v>0</c:v>
                </c:pt>
                <c:pt idx="6">
                  <c:v>0</c:v>
                </c:pt>
                <c:pt idx="7">
                  <c:v>0</c:v>
                </c:pt>
                <c:pt idx="8">
                  <c:v>0</c:v>
                </c:pt>
                <c:pt idx="9">
                  <c:v>0</c:v>
                </c:pt>
              </c:numCache>
            </c:numRef>
          </c:val>
        </c:ser>
        <c:ser>
          <c:idx val="2"/>
          <c:order val="4"/>
          <c:tx>
            <c:v>Regulatory</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Inputs'!$A$170:$A$179</c:f>
              <c:numCache>
                <c:ptCount val="10"/>
              </c:numCache>
            </c:numRef>
          </c:cat>
          <c:val>
            <c:numRef>
              <c:f>'Archived Inputs'!$I$170:$I$179</c:f>
              <c:numCache>
                <c:ptCount val="10"/>
                <c:pt idx="0">
                  <c:v>0</c:v>
                </c:pt>
                <c:pt idx="1">
                  <c:v>0</c:v>
                </c:pt>
                <c:pt idx="2">
                  <c:v>0</c:v>
                </c:pt>
                <c:pt idx="3">
                  <c:v>0</c:v>
                </c:pt>
                <c:pt idx="4">
                  <c:v>0</c:v>
                </c:pt>
                <c:pt idx="5">
                  <c:v>0</c:v>
                </c:pt>
                <c:pt idx="6">
                  <c:v>0</c:v>
                </c:pt>
                <c:pt idx="7">
                  <c:v>0</c:v>
                </c:pt>
                <c:pt idx="8">
                  <c:v>0</c:v>
                </c:pt>
                <c:pt idx="9">
                  <c:v>0</c:v>
                </c:pt>
              </c:numCache>
            </c:numRef>
          </c:val>
        </c:ser>
        <c:ser>
          <c:idx val="4"/>
          <c:order val="5"/>
          <c:tx>
            <c:v>Costs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Inputs'!$A$170:$A$179</c:f>
              <c:numCache>
                <c:ptCount val="10"/>
              </c:numCache>
            </c:numRef>
          </c:cat>
          <c:val>
            <c:numRef>
              <c:f>'Archived Inputs'!$M$170:$M$179</c:f>
              <c:numCache>
                <c:ptCount val="10"/>
                <c:pt idx="0">
                  <c:v>0</c:v>
                </c:pt>
                <c:pt idx="1">
                  <c:v>0</c:v>
                </c:pt>
                <c:pt idx="2">
                  <c:v>0</c:v>
                </c:pt>
                <c:pt idx="3">
                  <c:v>0</c:v>
                </c:pt>
                <c:pt idx="4">
                  <c:v>0</c:v>
                </c:pt>
                <c:pt idx="5">
                  <c:v>0</c:v>
                </c:pt>
                <c:pt idx="6">
                  <c:v>0</c:v>
                </c:pt>
                <c:pt idx="7">
                  <c:v>0</c:v>
                </c:pt>
                <c:pt idx="8">
                  <c:v>0</c:v>
                </c:pt>
                <c:pt idx="9">
                  <c:v>0</c:v>
                </c:pt>
              </c:numCache>
            </c:numRef>
          </c:val>
        </c:ser>
        <c:overlap val="100"/>
        <c:axId val="40308071"/>
        <c:axId val="27228320"/>
      </c:barChart>
      <c:catAx>
        <c:axId val="40308071"/>
        <c:scaling>
          <c:orientation val="minMax"/>
        </c:scaling>
        <c:axPos val="l"/>
        <c:delete val="0"/>
        <c:numFmt formatCode="General" sourceLinked="1"/>
        <c:majorTickMark val="out"/>
        <c:minorTickMark val="none"/>
        <c:tickLblPos val="nextTo"/>
        <c:crossAx val="27228320"/>
        <c:crosses val="autoZero"/>
        <c:auto val="1"/>
        <c:lblOffset val="100"/>
        <c:noMultiLvlLbl val="0"/>
      </c:catAx>
      <c:valAx>
        <c:axId val="27228320"/>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Utility (lower values preferred)</a:t>
                </a:r>
              </a:p>
            </c:rich>
          </c:tx>
          <c:layout/>
          <c:overlay val="0"/>
          <c:spPr>
            <a:noFill/>
            <a:ln>
              <a:noFill/>
            </a:ln>
          </c:spPr>
        </c:title>
        <c:majorGridlines>
          <c:spPr>
            <a:ln w="3175">
              <a:solidFill>
                <a:srgbClr val="333333"/>
              </a:solidFill>
              <a:prstDash val="sysDot"/>
            </a:ln>
          </c:spPr>
        </c:majorGridlines>
        <c:delete val="0"/>
        <c:numFmt formatCode="General" sourceLinked="1"/>
        <c:majorTickMark val="out"/>
        <c:minorTickMark val="none"/>
        <c:tickLblPos val="nextTo"/>
        <c:crossAx val="40308071"/>
        <c:crossesAt val="1"/>
        <c:crossBetween val="between"/>
        <c:dispUnits/>
      </c:valAx>
      <c:spPr>
        <a:noFill/>
        <a:ln w="12700">
          <a:solidFill>
            <a:srgbClr val="808080"/>
          </a:solidFill>
        </a:ln>
      </c:spPr>
    </c:plotArea>
    <c:legend>
      <c:legendPos val="r"/>
      <c:layout>
        <c:manualLayout>
          <c:xMode val="edge"/>
          <c:yMode val="edge"/>
          <c:x val="0"/>
          <c:y val="0.79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Inputs'!$C$94:$C$103</c:f>
              <c:numCache>
                <c:ptCount val="10"/>
                <c:pt idx="0">
                  <c:v>0.00016403320914815174</c:v>
                </c:pt>
                <c:pt idx="1">
                  <c:v>3.280664182963034E-10</c:v>
                </c:pt>
                <c:pt idx="2">
                  <c:v>3.280664182963034E-10</c:v>
                </c:pt>
                <c:pt idx="3">
                  <c:v>3.280664182963035E-11</c:v>
                </c:pt>
                <c:pt idx="4">
                  <c:v>3.280664182963035E-11</c:v>
                </c:pt>
                <c:pt idx="5">
                  <c:v>3.280664182963035E-11</c:v>
                </c:pt>
                <c:pt idx="6">
                  <c:v>3.280664182963035E-11</c:v>
                </c:pt>
                <c:pt idx="7">
                  <c:v>3.280664182963035E-11</c:v>
                </c:pt>
                <c:pt idx="8">
                  <c:v>3.280664182963035E-11</c:v>
                </c:pt>
                <c:pt idx="9">
                  <c:v>0</c:v>
                </c:pt>
              </c:numCache>
            </c:numRef>
          </c:val>
        </c:ser>
        <c:overlap val="100"/>
        <c:axId val="60889305"/>
        <c:axId val="11132834"/>
      </c:barChart>
      <c:catAx>
        <c:axId val="60889305"/>
        <c:scaling>
          <c:orientation val="minMax"/>
        </c:scaling>
        <c:axPos val="l"/>
        <c:delete val="0"/>
        <c:numFmt formatCode="General" sourceLinked="1"/>
        <c:majorTickMark val="out"/>
        <c:minorTickMark val="none"/>
        <c:tickLblPos val="nextTo"/>
        <c:crossAx val="11132834"/>
        <c:crossesAt val="1E-11"/>
        <c:auto val="1"/>
        <c:lblOffset val="100"/>
        <c:noMultiLvlLbl val="0"/>
      </c:catAx>
      <c:valAx>
        <c:axId val="11132834"/>
        <c:scaling>
          <c:logBase val="10"/>
          <c:orientation val="minMax"/>
        </c:scaling>
        <c:axPos val="b"/>
        <c:title>
          <c:tx>
            <c:rich>
              <a:bodyPr vert="horz" rot="0" anchor="ctr"/>
              <a:lstStyle/>
              <a:p>
                <a:pPr algn="ctr">
                  <a:defRPr/>
                </a:pPr>
                <a:r>
                  <a:rPr lang="en-US" cap="none" sz="1400" b="1" i="0" u="none" baseline="0">
                    <a:latin typeface="Arial"/>
                    <a:ea typeface="Arial"/>
                    <a:cs typeface="Arial"/>
                  </a:rPr>
                  <a:t>Public health risk (lower values preferred)</a:t>
                </a:r>
              </a:p>
            </c:rich>
          </c:tx>
          <c:layout/>
          <c:overlay val="0"/>
          <c:spPr>
            <a:noFill/>
            <a:ln>
              <a:noFill/>
            </a:ln>
          </c:spPr>
        </c:title>
        <c:majorGridlines>
          <c:spPr>
            <a:ln w="3175">
              <a:solidFill/>
              <a:prstDash val="sysDot"/>
            </a:ln>
          </c:spPr>
        </c:majorGridlines>
        <c:delete val="0"/>
        <c:numFmt formatCode="0E+00" sourceLinked="0"/>
        <c:majorTickMark val="out"/>
        <c:minorTickMark val="none"/>
        <c:tickLblPos val="nextTo"/>
        <c:crossAx val="6088930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Inputs'!$C$104:$C$113</c:f>
              <c:numCache>
                <c:ptCount val="10"/>
                <c:pt idx="0">
                  <c:v>0</c:v>
                </c:pt>
                <c:pt idx="1">
                  <c:v>0</c:v>
                </c:pt>
                <c:pt idx="2">
                  <c:v>0</c:v>
                </c:pt>
                <c:pt idx="3">
                  <c:v>0</c:v>
                </c:pt>
                <c:pt idx="4">
                  <c:v>0</c:v>
                </c:pt>
                <c:pt idx="5">
                  <c:v>0</c:v>
                </c:pt>
                <c:pt idx="6">
                  <c:v>0</c:v>
                </c:pt>
                <c:pt idx="7">
                  <c:v>0</c:v>
                </c:pt>
                <c:pt idx="8">
                  <c:v>0</c:v>
                </c:pt>
                <c:pt idx="9">
                  <c:v>0</c:v>
                </c:pt>
              </c:numCache>
            </c:numRef>
          </c:val>
        </c:ser>
        <c:overlap val="100"/>
        <c:axId val="33086643"/>
        <c:axId val="29344332"/>
      </c:barChart>
      <c:catAx>
        <c:axId val="33086643"/>
        <c:scaling>
          <c:orientation val="minMax"/>
        </c:scaling>
        <c:axPos val="l"/>
        <c:delete val="0"/>
        <c:numFmt formatCode="General" sourceLinked="1"/>
        <c:majorTickMark val="out"/>
        <c:minorTickMark val="none"/>
        <c:tickLblPos val="nextTo"/>
        <c:crossAx val="29344332"/>
        <c:crossesAt val="1E-11"/>
        <c:auto val="1"/>
        <c:lblOffset val="100"/>
        <c:noMultiLvlLbl val="0"/>
      </c:catAx>
      <c:valAx>
        <c:axId val="29344332"/>
        <c:scaling>
          <c:logBase val="10"/>
          <c:orientation val="minMax"/>
        </c:scaling>
        <c:axPos val="b"/>
        <c:title>
          <c:tx>
            <c:rich>
              <a:bodyPr vert="horz" rot="0" anchor="ctr"/>
              <a:lstStyle/>
              <a:p>
                <a:pPr algn="ctr">
                  <a:defRPr/>
                </a:pPr>
                <a:r>
                  <a:rPr lang="en-US" cap="none" sz="1400" b="1" i="0" u="none" baseline="0">
                    <a:latin typeface="Arial"/>
                    <a:ea typeface="Arial"/>
                    <a:cs typeface="Arial"/>
                  </a:rPr>
                  <a:t>Public health risk (lower values preferred)</a:t>
                </a:r>
              </a:p>
            </c:rich>
          </c:tx>
          <c:layout/>
          <c:overlay val="0"/>
          <c:spPr>
            <a:noFill/>
            <a:ln>
              <a:noFill/>
            </a:ln>
          </c:spPr>
        </c:title>
        <c:majorGridlines>
          <c:spPr>
            <a:ln w="3175">
              <a:solidFill/>
              <a:prstDash val="sysDot"/>
            </a:ln>
          </c:spPr>
        </c:majorGridlines>
        <c:delete val="0"/>
        <c:numFmt formatCode="0E+00" sourceLinked="0"/>
        <c:majorTickMark val="out"/>
        <c:minorTickMark val="none"/>
        <c:tickLblPos val="nextTo"/>
        <c:crossAx val="3308664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Inputs'!$E$94:$E$103</c:f>
              <c:numCache>
                <c:ptCount val="10"/>
                <c:pt idx="0">
                  <c:v>0</c:v>
                </c:pt>
                <c:pt idx="1">
                  <c:v>0.0025555839509327884</c:v>
                </c:pt>
                <c:pt idx="2">
                  <c:v>0.0025555839509327884</c:v>
                </c:pt>
                <c:pt idx="3">
                  <c:v>0.025555839509327882</c:v>
                </c:pt>
                <c:pt idx="4">
                  <c:v>0.2555583950932788</c:v>
                </c:pt>
                <c:pt idx="5">
                  <c:v>0.07666751852798365</c:v>
                </c:pt>
                <c:pt idx="6">
                  <c:v>0.025555839509327882</c:v>
                </c:pt>
                <c:pt idx="7">
                  <c:v>0.2555583950932788</c:v>
                </c:pt>
                <c:pt idx="8">
                  <c:v>0.07666751852798365</c:v>
                </c:pt>
                <c:pt idx="9">
                  <c:v>0</c:v>
                </c:pt>
              </c:numCache>
            </c:numRef>
          </c:val>
        </c:ser>
        <c:overlap val="100"/>
        <c:axId val="62772397"/>
        <c:axId val="28080662"/>
      </c:barChart>
      <c:catAx>
        <c:axId val="62772397"/>
        <c:scaling>
          <c:orientation val="minMax"/>
        </c:scaling>
        <c:axPos val="l"/>
        <c:delete val="0"/>
        <c:numFmt formatCode="General" sourceLinked="1"/>
        <c:majorTickMark val="out"/>
        <c:minorTickMark val="none"/>
        <c:tickLblPos val="nextTo"/>
        <c:crossAx val="28080662"/>
        <c:crossesAt val="1E-08"/>
        <c:auto val="1"/>
        <c:lblOffset val="100"/>
        <c:noMultiLvlLbl val="0"/>
      </c:catAx>
      <c:valAx>
        <c:axId val="28080662"/>
        <c:scaling>
          <c:orientation val="minMax"/>
          <c:max val="0.28"/>
          <c:min val="0"/>
        </c:scaling>
        <c:axPos val="b"/>
        <c:title>
          <c:tx>
            <c:rich>
              <a:bodyPr vert="horz" rot="0" anchor="ctr"/>
              <a:lstStyle/>
              <a:p>
                <a:pPr algn="ctr">
                  <a:defRPr/>
                </a:pPr>
                <a:r>
                  <a:rPr lang="en-US" cap="none" sz="1400" b="1" i="0" u="none" baseline="0">
                    <a:latin typeface="Arial"/>
                    <a:ea typeface="Arial"/>
                    <a:cs typeface="Arial"/>
                  </a:rPr>
                  <a:t>Worker health risk (lower values preferred)</a:t>
                </a:r>
              </a:p>
            </c:rich>
          </c:tx>
          <c:layout/>
          <c:overlay val="0"/>
          <c:spPr>
            <a:noFill/>
            <a:ln>
              <a:noFill/>
            </a:ln>
          </c:spPr>
        </c:title>
        <c:majorGridlines>
          <c:spPr>
            <a:ln w="3175">
              <a:solidFill/>
              <a:prstDash val="sysDot"/>
            </a:ln>
          </c:spPr>
        </c:majorGridlines>
        <c:delete val="0"/>
        <c:numFmt formatCode="0.000" sourceLinked="0"/>
        <c:majorTickMark val="out"/>
        <c:minorTickMark val="none"/>
        <c:tickLblPos val="nextTo"/>
        <c:txPr>
          <a:bodyPr/>
          <a:lstStyle/>
          <a:p>
            <a:pPr>
              <a:defRPr lang="en-US" cap="none" sz="1200" b="0" i="0" u="none" baseline="0">
                <a:latin typeface="Arial"/>
                <a:ea typeface="Arial"/>
                <a:cs typeface="Arial"/>
              </a:defRPr>
            </a:pPr>
          </a:p>
        </c:txPr>
        <c:crossAx val="6277239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Inputs'!$E$104:$E$113</c:f>
              <c:numCache>
                <c:ptCount val="10"/>
                <c:pt idx="0">
                  <c:v>0</c:v>
                </c:pt>
                <c:pt idx="1">
                  <c:v>0</c:v>
                </c:pt>
                <c:pt idx="2">
                  <c:v>0</c:v>
                </c:pt>
                <c:pt idx="3">
                  <c:v>0</c:v>
                </c:pt>
                <c:pt idx="4">
                  <c:v>0</c:v>
                </c:pt>
                <c:pt idx="5">
                  <c:v>0</c:v>
                </c:pt>
                <c:pt idx="6">
                  <c:v>0</c:v>
                </c:pt>
                <c:pt idx="7">
                  <c:v>0</c:v>
                </c:pt>
                <c:pt idx="8">
                  <c:v>0</c:v>
                </c:pt>
                <c:pt idx="9">
                  <c:v>0</c:v>
                </c:pt>
              </c:numCache>
            </c:numRef>
          </c:val>
        </c:ser>
        <c:overlap val="100"/>
        <c:axId val="51399367"/>
        <c:axId val="59941120"/>
      </c:barChart>
      <c:catAx>
        <c:axId val="51399367"/>
        <c:scaling>
          <c:orientation val="minMax"/>
        </c:scaling>
        <c:axPos val="l"/>
        <c:delete val="0"/>
        <c:numFmt formatCode="General" sourceLinked="1"/>
        <c:majorTickMark val="out"/>
        <c:minorTickMark val="none"/>
        <c:tickLblPos val="nextTo"/>
        <c:crossAx val="59941120"/>
        <c:crossesAt val="1E-08"/>
        <c:auto val="1"/>
        <c:lblOffset val="100"/>
        <c:noMultiLvlLbl val="0"/>
      </c:catAx>
      <c:valAx>
        <c:axId val="59941120"/>
        <c:scaling>
          <c:orientation val="minMax"/>
          <c:min val="0.001"/>
        </c:scaling>
        <c:axPos val="b"/>
        <c:title>
          <c:tx>
            <c:rich>
              <a:bodyPr vert="horz" rot="0" anchor="ctr"/>
              <a:lstStyle/>
              <a:p>
                <a:pPr algn="ctr">
                  <a:defRPr/>
                </a:pPr>
                <a:r>
                  <a:rPr lang="en-US" cap="none" sz="1400" b="1" i="0" u="none" baseline="0">
                    <a:latin typeface="Arial"/>
                    <a:ea typeface="Arial"/>
                    <a:cs typeface="Arial"/>
                  </a:rPr>
                  <a:t>Worker health risk (lower values preferred)</a:t>
                </a:r>
              </a:p>
            </c:rich>
          </c:tx>
          <c:layout/>
          <c:overlay val="0"/>
          <c:spPr>
            <a:noFill/>
            <a:ln>
              <a:noFill/>
            </a:ln>
          </c:spPr>
        </c:title>
        <c:majorGridlines>
          <c:spPr>
            <a:ln w="3175">
              <a:solidFill/>
              <a:prstDash val="sysDot"/>
            </a:ln>
          </c:spPr>
        </c:majorGridlines>
        <c:delete val="0"/>
        <c:numFmt formatCode="0.0E+00" sourceLinked="0"/>
        <c:majorTickMark val="out"/>
        <c:minorTickMark val="none"/>
        <c:tickLblPos val="nextTo"/>
        <c:txPr>
          <a:bodyPr/>
          <a:lstStyle/>
          <a:p>
            <a:pPr>
              <a:defRPr lang="en-US" cap="none" sz="900" b="0" i="0" u="none" baseline="0">
                <a:latin typeface="Arial"/>
                <a:ea typeface="Arial"/>
                <a:cs typeface="Arial"/>
              </a:defRPr>
            </a:pPr>
          </a:p>
        </c:txPr>
        <c:crossAx val="51399367"/>
        <c:crossesAt val="1"/>
        <c:crossBetween val="between"/>
        <c:dispUnits/>
        <c:majorUnit val="0.0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Inputs'!$G$94:$G$103</c:f>
              <c:numCache>
                <c:ptCount val="10"/>
                <c:pt idx="0">
                  <c:v>6.136950904392766</c:v>
                </c:pt>
                <c:pt idx="1">
                  <c:v>6.136950904392766</c:v>
                </c:pt>
                <c:pt idx="2">
                  <c:v>3.068475452196383</c:v>
                </c:pt>
                <c:pt idx="3">
                  <c:v>3.068475452196383</c:v>
                </c:pt>
                <c:pt idx="4">
                  <c:v>3.068475452196383</c:v>
                </c:pt>
                <c:pt idx="5">
                  <c:v>3.068475452196383</c:v>
                </c:pt>
                <c:pt idx="6">
                  <c:v>3.068475452196383</c:v>
                </c:pt>
                <c:pt idx="7">
                  <c:v>3.068475452196383</c:v>
                </c:pt>
                <c:pt idx="8">
                  <c:v>3.068475452196383</c:v>
                </c:pt>
                <c:pt idx="9">
                  <c:v>0</c:v>
                </c:pt>
              </c:numCache>
            </c:numRef>
          </c:val>
        </c:ser>
        <c:overlap val="100"/>
        <c:axId val="2599169"/>
        <c:axId val="23392522"/>
      </c:barChart>
      <c:catAx>
        <c:axId val="2599169"/>
        <c:scaling>
          <c:orientation val="minMax"/>
        </c:scaling>
        <c:axPos val="l"/>
        <c:delete val="0"/>
        <c:numFmt formatCode="General" sourceLinked="1"/>
        <c:majorTickMark val="out"/>
        <c:minorTickMark val="none"/>
        <c:tickLblPos val="nextTo"/>
        <c:crossAx val="23392522"/>
        <c:crosses val="autoZero"/>
        <c:auto val="1"/>
        <c:lblOffset val="100"/>
        <c:noMultiLvlLbl val="0"/>
      </c:catAx>
      <c:valAx>
        <c:axId val="23392522"/>
        <c:scaling>
          <c:orientation val="minMax"/>
          <c:max val="10"/>
        </c:scaling>
        <c:axPos val="b"/>
        <c:title>
          <c:tx>
            <c:rich>
              <a:bodyPr vert="horz" rot="0" anchor="ctr"/>
              <a:lstStyle/>
              <a:p>
                <a:pPr algn="ctr">
                  <a:defRPr/>
                </a:pPr>
                <a:r>
                  <a:rPr lang="en-US" cap="none" sz="1400" b="1" i="0" u="none" baseline="0">
                    <a:latin typeface="Arial"/>
                    <a:ea typeface="Arial"/>
                    <a:cs typeface="Arial"/>
                  </a:rPr>
                  <a:t>Environmental risk (lower values preferred)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59916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'Archived Inputs'!$A$104:$A$113</c:f>
              <c:numCache>
                <c:ptCount val="10"/>
              </c:numCache>
            </c:numRef>
          </c:cat>
          <c:val>
            <c:numRef>
              <c:f>'Archived Inputs'!$G$104:$G$113</c:f>
              <c:numCache>
                <c:ptCount val="10"/>
                <c:pt idx="0">
                  <c:v>0</c:v>
                </c:pt>
                <c:pt idx="1">
                  <c:v>0</c:v>
                </c:pt>
                <c:pt idx="2">
                  <c:v>0</c:v>
                </c:pt>
                <c:pt idx="3">
                  <c:v>0</c:v>
                </c:pt>
                <c:pt idx="4">
                  <c:v>0</c:v>
                </c:pt>
                <c:pt idx="5">
                  <c:v>0</c:v>
                </c:pt>
                <c:pt idx="6">
                  <c:v>0</c:v>
                </c:pt>
                <c:pt idx="7">
                  <c:v>0</c:v>
                </c:pt>
                <c:pt idx="8">
                  <c:v>0</c:v>
                </c:pt>
                <c:pt idx="9">
                  <c:v>0</c:v>
                </c:pt>
              </c:numCache>
            </c:numRef>
          </c:val>
        </c:ser>
        <c:overlap val="100"/>
        <c:axId val="9206107"/>
        <c:axId val="15746100"/>
      </c:barChart>
      <c:catAx>
        <c:axId val="9206107"/>
        <c:scaling>
          <c:orientation val="minMax"/>
        </c:scaling>
        <c:axPos val="l"/>
        <c:delete val="0"/>
        <c:numFmt formatCode="General" sourceLinked="1"/>
        <c:majorTickMark val="out"/>
        <c:minorTickMark val="none"/>
        <c:tickLblPos val="nextTo"/>
        <c:crossAx val="15746100"/>
        <c:crosses val="autoZero"/>
        <c:auto val="1"/>
        <c:lblOffset val="100"/>
        <c:noMultiLvlLbl val="0"/>
      </c:catAx>
      <c:valAx>
        <c:axId val="15746100"/>
        <c:scaling>
          <c:orientation val="minMax"/>
          <c:max val="20"/>
        </c:scaling>
        <c:axPos val="b"/>
        <c:title>
          <c:tx>
            <c:rich>
              <a:bodyPr vert="horz" rot="0" anchor="ctr"/>
              <a:lstStyle/>
              <a:p>
                <a:pPr algn="ctr">
                  <a:defRPr/>
                </a:pPr>
                <a:r>
                  <a:rPr lang="en-US" cap="none" sz="1400" b="1" i="0" u="none" baseline="0">
                    <a:latin typeface="Arial"/>
                    <a:ea typeface="Arial"/>
                    <a:cs typeface="Arial"/>
                  </a:rPr>
                  <a:t>Environmental risk (lower values preferred)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920610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'Archived Inputs'!$A$94:$A$103</c:f>
              <c:strCache>
                <c:ptCount val="10"/>
                <c:pt idx="0">
                  <c:v>No action</c:v>
                </c:pt>
                <c:pt idx="1">
                  <c:v>MNA in MAAZ &amp; LLAZ</c:v>
                </c:pt>
                <c:pt idx="2">
                  <c:v>Operate existing gw recirc wells to 50 ug/L; MNA in residual</c:v>
                </c:pt>
                <c:pt idx="3">
                  <c:v>GW recirc in LLAZ to 50 ug/L; MNA in MAAZ</c:v>
                </c:pt>
                <c:pt idx="4">
                  <c:v>ChemOx in LLAZ to 50 ug/L; MNA in MAAZ</c:v>
                </c:pt>
                <c:pt idx="5">
                  <c:v>PRB in LLAZ to 50 ug/L; MNA in MAAZ</c:v>
                </c:pt>
                <c:pt idx="6">
                  <c:v>GW recirc in LLAZ &amp; MAAZ to 50 ug/L</c:v>
                </c:pt>
                <c:pt idx="7">
                  <c:v>ChemOx in LLAZ to 50 ug/L; GW recirc in MAAZ to 50 ug/L</c:v>
                </c:pt>
                <c:pt idx="8">
                  <c:v>PRB in LLAZ to 50 ug/L; GW recirc in MAAZ to 50 ug/L</c:v>
                </c:pt>
              </c:strCache>
            </c:strRef>
          </c:cat>
          <c:val>
            <c:numRef>
              <c:f>'Archived Inputs'!$I$94:$I$103</c:f>
              <c:numCache>
                <c:ptCount val="10"/>
                <c:pt idx="0">
                  <c:v>93023255.81395349</c:v>
                </c:pt>
                <c:pt idx="1">
                  <c:v>5.5813953488372094</c:v>
                </c:pt>
                <c:pt idx="2">
                  <c:v>2.7906976744186047</c:v>
                </c:pt>
                <c:pt idx="3">
                  <c:v>0</c:v>
                </c:pt>
                <c:pt idx="4">
                  <c:v>0</c:v>
                </c:pt>
                <c:pt idx="5">
                  <c:v>0</c:v>
                </c:pt>
                <c:pt idx="6">
                  <c:v>0</c:v>
                </c:pt>
                <c:pt idx="7">
                  <c:v>0</c:v>
                </c:pt>
                <c:pt idx="8">
                  <c:v>0</c:v>
                </c:pt>
                <c:pt idx="9">
                  <c:v>0</c:v>
                </c:pt>
              </c:numCache>
            </c:numRef>
          </c:val>
        </c:ser>
        <c:overlap val="100"/>
        <c:axId val="7497173"/>
        <c:axId val="365694"/>
      </c:barChart>
      <c:catAx>
        <c:axId val="7497173"/>
        <c:scaling>
          <c:orientation val="minMax"/>
        </c:scaling>
        <c:axPos val="l"/>
        <c:delete val="0"/>
        <c:numFmt formatCode="General" sourceLinked="1"/>
        <c:majorTickMark val="out"/>
        <c:minorTickMark val="none"/>
        <c:tickLblPos val="nextTo"/>
        <c:crossAx val="365694"/>
        <c:crosses val="autoZero"/>
        <c:auto val="1"/>
        <c:lblOffset val="100"/>
        <c:noMultiLvlLbl val="0"/>
      </c:catAx>
      <c:valAx>
        <c:axId val="365694"/>
        <c:scaling>
          <c:orientation val="minMax"/>
          <c:max val="100"/>
        </c:scaling>
        <c:axPos val="b"/>
        <c:title>
          <c:tx>
            <c:rich>
              <a:bodyPr vert="horz" rot="0" anchor="ctr"/>
              <a:lstStyle/>
              <a:p>
                <a:pPr algn="ctr">
                  <a:defRPr/>
                </a:pPr>
                <a:r>
                  <a:rPr lang="en-US" cap="none" sz="1400" b="1" i="0" u="none" baseline="0">
                    <a:latin typeface="Arial"/>
                    <a:ea typeface="Arial"/>
                    <a:cs typeface="Arial"/>
                  </a:rPr>
                  <a:t>Regulatory responsiveness (lower values preferred)</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749717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Chart1">
    <tabColor indexed="12"/>
  </sheetPr>
  <sheetViews>
    <sheetView workbookViewId="0"/>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Pr codeName="Chart15">
    <tabColor indexed="11"/>
  </sheetPr>
  <sheetViews>
    <sheetView workbookViewId="0"/>
  </sheetViews>
  <pageMargins left="0.75" right="0.75" top="1" bottom="1" header="0.5" footer="0.5"/>
  <pageSetup horizontalDpi="300" verticalDpi="300" orientation="landscape"/>
  <drawing r:id="rId1"/>
</chartsheet>
</file>

<file path=xl/chartsheets/sheet11.xml><?xml version="1.0" encoding="utf-8"?>
<chartsheet xmlns="http://schemas.openxmlformats.org/spreadsheetml/2006/main" xmlns:r="http://schemas.openxmlformats.org/officeDocument/2006/relationships">
  <sheetPr codeName="Chart5">
    <tabColor indexed="22"/>
  </sheetPr>
  <sheetViews>
    <sheetView workbookViewId="0"/>
  </sheetViews>
  <pageMargins left="0.75" right="0.75" top="1" bottom="1" header="0.5" footer="0.5"/>
  <pageSetup horizontalDpi="300" verticalDpi="300" orientation="landscape"/>
  <drawing r:id="rId1"/>
</chartsheet>
</file>

<file path=xl/chartsheets/sheet12.xml><?xml version="1.0" encoding="utf-8"?>
<chartsheet xmlns="http://schemas.openxmlformats.org/spreadsheetml/2006/main" xmlns:r="http://schemas.openxmlformats.org/officeDocument/2006/relationships">
  <sheetPr codeName="Chart16">
    <tabColor indexed="22"/>
  </sheetPr>
  <sheetViews>
    <sheetView workbookViewId="0"/>
  </sheetViews>
  <pageMargins left="0.75" right="0.75" top="1" bottom="1" header="0.5" footer="0.5"/>
  <pageSetup horizontalDpi="300" verticalDpi="300" orientation="landscape"/>
  <drawing r:id="rId1"/>
</chartsheet>
</file>

<file path=xl/chartsheets/sheet13.xml><?xml version="1.0" encoding="utf-8"?>
<chartsheet xmlns="http://schemas.openxmlformats.org/spreadsheetml/2006/main" xmlns:r="http://schemas.openxmlformats.org/officeDocument/2006/relationships">
  <sheetPr codeName="Chart9">
    <tabColor indexed="46"/>
  </sheetPr>
  <sheetViews>
    <sheetView workbookViewId="0"/>
  </sheetViews>
  <pageMargins left="0.75" right="0.75" top="1" bottom="1" header="0.5" footer="0.5"/>
  <pageSetup horizontalDpi="300" verticalDpi="300" orientation="landscape"/>
  <drawing r:id="rId1"/>
</chartsheet>
</file>

<file path=xl/chartsheets/sheet14.xml><?xml version="1.0" encoding="utf-8"?>
<chartsheet xmlns="http://schemas.openxmlformats.org/spreadsheetml/2006/main" xmlns:r="http://schemas.openxmlformats.org/officeDocument/2006/relationships">
  <sheetPr codeName="Chart17">
    <tabColor indexed="46"/>
  </sheetPr>
  <sheetViews>
    <sheetView workbookViewId="0"/>
  </sheetViews>
  <pageMargins left="0.75" right="0.75" top="1" bottom="1" header="0.5" footer="0.5"/>
  <pageSetup horizontalDpi="300" verticalDpi="300" orientation="landscape"/>
  <drawing r:id="rId1"/>
</chartsheet>
</file>

<file path=xl/chartsheets/sheet15.xml><?xml version="1.0" encoding="utf-8"?>
<chartsheet xmlns="http://schemas.openxmlformats.org/spreadsheetml/2006/main" xmlns:r="http://schemas.openxmlformats.org/officeDocument/2006/relationships">
  <sheetPr codeName="Chart11">
    <tabColor indexed="46"/>
  </sheetPr>
  <sheetViews>
    <sheetView workbookViewId="0"/>
  </sheetViews>
  <pageMargins left="0.75" right="0.75" top="1" bottom="1" header="0.5" footer="0.5"/>
  <pageSetup horizontalDpi="300" verticalDpi="300" orientation="landscape"/>
  <drawing r:id="rId1"/>
</chartsheet>
</file>

<file path=xl/chartsheets/sheet16.xml><?xml version="1.0" encoding="utf-8"?>
<chartsheet xmlns="http://schemas.openxmlformats.org/spreadsheetml/2006/main" xmlns:r="http://schemas.openxmlformats.org/officeDocument/2006/relationships">
  <sheetPr codeName="Chart18">
    <tabColor indexed="46"/>
  </sheetPr>
  <sheetViews>
    <sheetView workbookViewId="0"/>
  </sheetViews>
  <pageMargins left="0.75" right="0.75" top="1" bottom="1" header="0.5" footer="0.5"/>
  <pageSetup horizontalDpi="300" verticalDpi="300" orientation="landscape"/>
  <drawing r:id="rId1"/>
</chartsheet>
</file>

<file path=xl/chartsheets/sheet17.xml><?xml version="1.0" encoding="utf-8"?>
<chartsheet xmlns="http://schemas.openxmlformats.org/spreadsheetml/2006/main" xmlns:r="http://schemas.openxmlformats.org/officeDocument/2006/relationships">
  <sheetPr codeName="Chart12">
    <tabColor indexed="46"/>
  </sheetPr>
  <sheetViews>
    <sheetView workbookViewId="0"/>
  </sheetViews>
  <pageMargins left="0.75" right="0.75" top="1" bottom="1" header="0.5" footer="0.5"/>
  <pageSetup horizontalDpi="300" verticalDpi="300" orientation="landscape"/>
  <drawing r:id="rId1"/>
</chartsheet>
</file>

<file path=xl/chartsheets/sheet18.xml><?xml version="1.0" encoding="utf-8"?>
<chartsheet xmlns="http://schemas.openxmlformats.org/spreadsheetml/2006/main" xmlns:r="http://schemas.openxmlformats.org/officeDocument/2006/relationships">
  <sheetPr codeName="Chart19">
    <tabColor indexed="46"/>
  </sheetPr>
  <sheetViews>
    <sheetView workbookViewId="0"/>
  </sheetViews>
  <pageMargins left="0.75" right="0.75" top="1" bottom="1" header="0.5" footer="0.5"/>
  <pageSetup horizontalDpi="300" verticalDpi="300" orientation="landscape"/>
  <drawing r:id="rId1"/>
</chartsheet>
</file>

<file path=xl/chartsheets/sheet19.xml><?xml version="1.0" encoding="utf-8"?>
<chartsheet xmlns="http://schemas.openxmlformats.org/spreadsheetml/2006/main" xmlns:r="http://schemas.openxmlformats.org/officeDocument/2006/relationships">
  <sheetPr codeName="Chart14">
    <tabColor indexed="46"/>
  </sheetPr>
  <sheetViews>
    <sheetView workbookViewId="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6">
    <tabColor indexed="12"/>
  </sheetPr>
  <sheetViews>
    <sheetView workbookViewId="0"/>
  </sheetViews>
  <pageMargins left="0.75" right="0.75" top="1" bottom="1" header="0.5" footer="0.5"/>
  <pageSetup horizontalDpi="300" verticalDpi="300" orientation="landscape"/>
  <drawing r:id="rId1"/>
</chartsheet>
</file>

<file path=xl/chartsheets/sheet20.xml><?xml version="1.0" encoding="utf-8"?>
<chartsheet xmlns="http://schemas.openxmlformats.org/spreadsheetml/2006/main" xmlns:r="http://schemas.openxmlformats.org/officeDocument/2006/relationships">
  <sheetPr codeName="Chart20">
    <tabColor indexed="46"/>
  </sheetPr>
  <sheetViews>
    <sheetView workbookViewId="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Pr codeName="Chart10">
    <tabColor indexed="40"/>
  </sheetPr>
  <sheetViews>
    <sheetView workbookViewId="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Pr codeName="Chart13">
    <tabColor indexed="40"/>
  </sheetPr>
  <sheetViews>
    <sheetView workbookViewId="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Pr codeName="Chart2">
    <tabColor indexed="10"/>
  </sheetPr>
  <sheetViews>
    <sheetView workbookViewId="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Pr codeName="Chart7">
    <tabColor indexed="10"/>
  </sheetPr>
  <sheetViews>
    <sheetView workbookViewId="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Pr codeName="Chart3">
    <tabColor indexed="13"/>
  </sheetPr>
  <sheetViews>
    <sheetView workbookViewId="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Pr codeName="Chart8">
    <tabColor indexed="13"/>
  </sheetPr>
  <sheetViews>
    <sheetView workbookViewId="0"/>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Pr codeName="Chart4">
    <tabColor indexed="11"/>
  </sheetPr>
  <sheetViews>
    <sheetView workbookViewId="0"/>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9.emf" /><Relationship Id="rId2" Type="http://schemas.openxmlformats.org/officeDocument/2006/relationships/image" Target="../media/image70.emf" /><Relationship Id="rId3" Type="http://schemas.openxmlformats.org/officeDocument/2006/relationships/image" Target="../media/image69.emf" /><Relationship Id="rId4" Type="http://schemas.openxmlformats.org/officeDocument/2006/relationships/image" Target="../media/image46.emf" /><Relationship Id="rId5" Type="http://schemas.openxmlformats.org/officeDocument/2006/relationships/image" Target="../media/image20.emf" /><Relationship Id="rId6" Type="http://schemas.openxmlformats.org/officeDocument/2006/relationships/image" Target="../media/image9.emf" /><Relationship Id="rId7" Type="http://schemas.openxmlformats.org/officeDocument/2006/relationships/image" Target="../media/image33.emf" /><Relationship Id="rId8" Type="http://schemas.openxmlformats.org/officeDocument/2006/relationships/image" Target="../media/image34.emf" /><Relationship Id="rId9" Type="http://schemas.openxmlformats.org/officeDocument/2006/relationships/image" Target="../media/image29.emf" /><Relationship Id="rId10" Type="http://schemas.openxmlformats.org/officeDocument/2006/relationships/image" Target="../media/image2.emf" /><Relationship Id="rId11" Type="http://schemas.openxmlformats.org/officeDocument/2006/relationships/image" Target="../media/image35.emf" /><Relationship Id="rId12" Type="http://schemas.openxmlformats.org/officeDocument/2006/relationships/image" Target="../media/image4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68.emf" /><Relationship Id="rId2" Type="http://schemas.openxmlformats.org/officeDocument/2006/relationships/image" Target="../media/image6.emf" /><Relationship Id="rId3" Type="http://schemas.openxmlformats.org/officeDocument/2006/relationships/image" Target="../media/image45.emf" /><Relationship Id="rId4" Type="http://schemas.openxmlformats.org/officeDocument/2006/relationships/image" Target="../media/image41.emf" /><Relationship Id="rId5" Type="http://schemas.openxmlformats.org/officeDocument/2006/relationships/image" Target="../media/image40.emf" /><Relationship Id="rId6" Type="http://schemas.openxmlformats.org/officeDocument/2006/relationships/image" Target="../media/image30.emf" /><Relationship Id="rId7" Type="http://schemas.openxmlformats.org/officeDocument/2006/relationships/image" Target="../media/image37.emf" /><Relationship Id="rId8" Type="http://schemas.openxmlformats.org/officeDocument/2006/relationships/image" Target="../media/image39.emf" /><Relationship Id="rId9" Type="http://schemas.openxmlformats.org/officeDocument/2006/relationships/image" Target="../media/image38.emf" /><Relationship Id="rId10" Type="http://schemas.openxmlformats.org/officeDocument/2006/relationships/image" Target="../media/image36.emf" /><Relationship Id="rId11" Type="http://schemas.openxmlformats.org/officeDocument/2006/relationships/image" Target="../media/image31.emf" /><Relationship Id="rId12" Type="http://schemas.openxmlformats.org/officeDocument/2006/relationships/image" Target="../media/image22.emf" /><Relationship Id="rId13" Type="http://schemas.openxmlformats.org/officeDocument/2006/relationships/image" Target="../media/image23.emf" /><Relationship Id="rId14" Type="http://schemas.openxmlformats.org/officeDocument/2006/relationships/image" Target="../media/image24.emf" /><Relationship Id="rId15" Type="http://schemas.openxmlformats.org/officeDocument/2006/relationships/image" Target="../media/image10.emf" /><Relationship Id="rId16" Type="http://schemas.openxmlformats.org/officeDocument/2006/relationships/image" Target="../media/image12.emf" /><Relationship Id="rId17" Type="http://schemas.openxmlformats.org/officeDocument/2006/relationships/image" Target="../media/image8.emf" /><Relationship Id="rId18" Type="http://schemas.openxmlformats.org/officeDocument/2006/relationships/image" Target="../media/image57.emf" /><Relationship Id="rId19" Type="http://schemas.openxmlformats.org/officeDocument/2006/relationships/image" Target="../media/image55.emf" /><Relationship Id="rId20" Type="http://schemas.openxmlformats.org/officeDocument/2006/relationships/image" Target="../media/image61.emf" /><Relationship Id="rId21" Type="http://schemas.openxmlformats.org/officeDocument/2006/relationships/image" Target="../media/image67.emf" /><Relationship Id="rId22" Type="http://schemas.openxmlformats.org/officeDocument/2006/relationships/image" Target="../media/image66.emf" /><Relationship Id="rId23" Type="http://schemas.openxmlformats.org/officeDocument/2006/relationships/image" Target="../media/image65.emf" /><Relationship Id="rId24" Type="http://schemas.openxmlformats.org/officeDocument/2006/relationships/image" Target="../media/image64.emf" /><Relationship Id="rId25" Type="http://schemas.openxmlformats.org/officeDocument/2006/relationships/image" Target="../media/image63.emf" /><Relationship Id="rId26" Type="http://schemas.openxmlformats.org/officeDocument/2006/relationships/image" Target="../media/image4.emf" /><Relationship Id="rId27" Type="http://schemas.openxmlformats.org/officeDocument/2006/relationships/image" Target="../media/image44.emf" /><Relationship Id="rId28" Type="http://schemas.openxmlformats.org/officeDocument/2006/relationships/image" Target="../media/image18.emf" /><Relationship Id="rId29" Type="http://schemas.openxmlformats.org/officeDocument/2006/relationships/image" Target="../media/image60.emf" /><Relationship Id="rId30" Type="http://schemas.openxmlformats.org/officeDocument/2006/relationships/image" Target="../media/image59.emf" /><Relationship Id="rId31" Type="http://schemas.openxmlformats.org/officeDocument/2006/relationships/image" Target="../media/image58.emf" /><Relationship Id="rId32" Type="http://schemas.openxmlformats.org/officeDocument/2006/relationships/image" Target="../media/image21.emf" /><Relationship Id="rId33" Type="http://schemas.openxmlformats.org/officeDocument/2006/relationships/image" Target="../media/image13.emf" /><Relationship Id="rId34" Type="http://schemas.openxmlformats.org/officeDocument/2006/relationships/image" Target="../media/image56.emf" /><Relationship Id="rId35" Type="http://schemas.openxmlformats.org/officeDocument/2006/relationships/image" Target="../media/image11.emf" /><Relationship Id="rId36" Type="http://schemas.openxmlformats.org/officeDocument/2006/relationships/image" Target="../media/image28.emf" /><Relationship Id="rId37" Type="http://schemas.openxmlformats.org/officeDocument/2006/relationships/image" Target="../media/image32.emf" /><Relationship Id="rId38" Type="http://schemas.openxmlformats.org/officeDocument/2006/relationships/image" Target="../media/image7.emf" /><Relationship Id="rId39" Type="http://schemas.openxmlformats.org/officeDocument/2006/relationships/image" Target="../media/image62.emf" /><Relationship Id="rId40" Type="http://schemas.openxmlformats.org/officeDocument/2006/relationships/image" Target="../media/image17.emf" /><Relationship Id="rId41" Type="http://schemas.openxmlformats.org/officeDocument/2006/relationships/image" Target="../media/image26.emf" /><Relationship Id="rId42" Type="http://schemas.openxmlformats.org/officeDocument/2006/relationships/image" Target="../media/image19.emf" /><Relationship Id="rId43" Type="http://schemas.openxmlformats.org/officeDocument/2006/relationships/image" Target="../media/image52.emf" /><Relationship Id="rId44" Type="http://schemas.openxmlformats.org/officeDocument/2006/relationships/image" Target="../media/image3.emf" /><Relationship Id="rId45" Type="http://schemas.openxmlformats.org/officeDocument/2006/relationships/image" Target="../media/image5.emf" /><Relationship Id="rId46" Type="http://schemas.openxmlformats.org/officeDocument/2006/relationships/image" Target="../media/image54.emf" /><Relationship Id="rId47" Type="http://schemas.openxmlformats.org/officeDocument/2006/relationships/image" Target="../media/image27.emf" /><Relationship Id="rId48" Type="http://schemas.openxmlformats.org/officeDocument/2006/relationships/image" Target="../media/image53.emf"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50.emf" /><Relationship Id="rId3" Type="http://schemas.openxmlformats.org/officeDocument/2006/relationships/image" Target="../media/image16.emf" /><Relationship Id="rId4" Type="http://schemas.openxmlformats.org/officeDocument/2006/relationships/image" Target="../media/image4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2.emf" /></Relationships>
</file>

<file path=xl/drawings/_rels/drawing6.xml.rels><?xml version="1.0" encoding="utf-8" standalone="yes"?><Relationships xmlns="http://schemas.openxmlformats.org/package/2006/relationships"><Relationship Id="rId1" Type="http://schemas.openxmlformats.org/officeDocument/2006/relationships/image" Target="../media/image48.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9</xdr:row>
      <xdr:rowOff>104775</xdr:rowOff>
    </xdr:from>
    <xdr:to>
      <xdr:col>1</xdr:col>
      <xdr:colOff>257175</xdr:colOff>
      <xdr:row>9</xdr:row>
      <xdr:rowOff>238125</xdr:rowOff>
    </xdr:to>
    <xdr:pic>
      <xdr:nvPicPr>
        <xdr:cNvPr id="1" name="ckIngest"/>
        <xdr:cNvPicPr preferRelativeResize="1">
          <a:picLocks noChangeAspect="0"/>
        </xdr:cNvPicPr>
      </xdr:nvPicPr>
      <xdr:blipFill>
        <a:blip r:embed="rId1"/>
        <a:stretch>
          <a:fillRect/>
        </a:stretch>
      </xdr:blipFill>
      <xdr:spPr>
        <a:xfrm>
          <a:off x="2838450" y="2400300"/>
          <a:ext cx="133350" cy="133350"/>
        </a:xfrm>
        <a:prstGeom prst="rect">
          <a:avLst/>
        </a:prstGeom>
        <a:noFill/>
        <a:ln w="9525" cmpd="sng">
          <a:noFill/>
        </a:ln>
      </xdr:spPr>
    </xdr:pic>
    <xdr:clientData fLocksWithSheet="0"/>
  </xdr:twoCellAnchor>
  <xdr:twoCellAnchor editAs="oneCell">
    <xdr:from>
      <xdr:col>1</xdr:col>
      <xdr:colOff>123825</xdr:colOff>
      <xdr:row>10</xdr:row>
      <xdr:rowOff>104775</xdr:rowOff>
    </xdr:from>
    <xdr:to>
      <xdr:col>1</xdr:col>
      <xdr:colOff>257175</xdr:colOff>
      <xdr:row>10</xdr:row>
      <xdr:rowOff>238125</xdr:rowOff>
    </xdr:to>
    <xdr:pic>
      <xdr:nvPicPr>
        <xdr:cNvPr id="2" name="ckDerm"/>
        <xdr:cNvPicPr preferRelativeResize="1">
          <a:picLocks noChangeAspect="0"/>
        </xdr:cNvPicPr>
      </xdr:nvPicPr>
      <xdr:blipFill>
        <a:blip r:embed="rId2"/>
        <a:stretch>
          <a:fillRect/>
        </a:stretch>
      </xdr:blipFill>
      <xdr:spPr>
        <a:xfrm>
          <a:off x="2838450" y="2781300"/>
          <a:ext cx="133350" cy="133350"/>
        </a:xfrm>
        <a:prstGeom prst="rect">
          <a:avLst/>
        </a:prstGeom>
        <a:noFill/>
        <a:ln w="9525" cmpd="sng">
          <a:noFill/>
        </a:ln>
      </xdr:spPr>
    </xdr:pic>
    <xdr:clientData fLocksWithSheet="0"/>
  </xdr:twoCellAnchor>
  <xdr:twoCellAnchor editAs="oneCell">
    <xdr:from>
      <xdr:col>1</xdr:col>
      <xdr:colOff>123825</xdr:colOff>
      <xdr:row>11</xdr:row>
      <xdr:rowOff>104775</xdr:rowOff>
    </xdr:from>
    <xdr:to>
      <xdr:col>1</xdr:col>
      <xdr:colOff>257175</xdr:colOff>
      <xdr:row>11</xdr:row>
      <xdr:rowOff>238125</xdr:rowOff>
    </xdr:to>
    <xdr:pic>
      <xdr:nvPicPr>
        <xdr:cNvPr id="3" name="ckInh"/>
        <xdr:cNvPicPr preferRelativeResize="1">
          <a:picLocks noChangeAspect="0"/>
        </xdr:cNvPicPr>
      </xdr:nvPicPr>
      <xdr:blipFill>
        <a:blip r:embed="rId1"/>
        <a:stretch>
          <a:fillRect/>
        </a:stretch>
      </xdr:blipFill>
      <xdr:spPr>
        <a:xfrm>
          <a:off x="2838450" y="3162300"/>
          <a:ext cx="133350" cy="133350"/>
        </a:xfrm>
        <a:prstGeom prst="rect">
          <a:avLst/>
        </a:prstGeom>
        <a:noFill/>
        <a:ln w="9525" cmpd="sng">
          <a:noFill/>
        </a:ln>
      </xdr:spPr>
    </xdr:pic>
    <xdr:clientData fLocksWithSheet="0"/>
  </xdr:twoCellAnchor>
  <xdr:twoCellAnchor editAs="oneCell">
    <xdr:from>
      <xdr:col>1</xdr:col>
      <xdr:colOff>123825</xdr:colOff>
      <xdr:row>12</xdr:row>
      <xdr:rowOff>104775</xdr:rowOff>
    </xdr:from>
    <xdr:to>
      <xdr:col>1</xdr:col>
      <xdr:colOff>257175</xdr:colOff>
      <xdr:row>12</xdr:row>
      <xdr:rowOff>238125</xdr:rowOff>
    </xdr:to>
    <xdr:pic>
      <xdr:nvPicPr>
        <xdr:cNvPr id="4" name="ckOth"/>
        <xdr:cNvPicPr preferRelativeResize="1">
          <a:picLocks noChangeAspect="0"/>
        </xdr:cNvPicPr>
      </xdr:nvPicPr>
      <xdr:blipFill>
        <a:blip r:embed="rId2"/>
        <a:stretch>
          <a:fillRect/>
        </a:stretch>
      </xdr:blipFill>
      <xdr:spPr>
        <a:xfrm>
          <a:off x="2838450" y="3543300"/>
          <a:ext cx="133350" cy="133350"/>
        </a:xfrm>
        <a:prstGeom prst="rect">
          <a:avLst/>
        </a:prstGeom>
        <a:noFill/>
        <a:ln w="9525" cmpd="sng">
          <a:noFill/>
        </a:ln>
      </xdr:spPr>
    </xdr:pic>
    <xdr:clientData fLocksWithSheet="0"/>
  </xdr:twoCellAnchor>
  <xdr:twoCellAnchor editAs="oneCell">
    <xdr:from>
      <xdr:col>1</xdr:col>
      <xdr:colOff>123825</xdr:colOff>
      <xdr:row>16</xdr:row>
      <xdr:rowOff>104775</xdr:rowOff>
    </xdr:from>
    <xdr:to>
      <xdr:col>1</xdr:col>
      <xdr:colOff>266700</xdr:colOff>
      <xdr:row>16</xdr:row>
      <xdr:rowOff>228600</xdr:rowOff>
    </xdr:to>
    <xdr:pic>
      <xdr:nvPicPr>
        <xdr:cNvPr id="5" name="ckCoast"/>
        <xdr:cNvPicPr preferRelativeResize="1">
          <a:picLocks noChangeAspect="1"/>
        </xdr:cNvPicPr>
      </xdr:nvPicPr>
      <xdr:blipFill>
        <a:blip r:embed="rId3"/>
        <a:stretch>
          <a:fillRect/>
        </a:stretch>
      </xdr:blipFill>
      <xdr:spPr>
        <a:xfrm>
          <a:off x="2838450" y="4648200"/>
          <a:ext cx="142875" cy="123825"/>
        </a:xfrm>
        <a:prstGeom prst="rect">
          <a:avLst/>
        </a:prstGeom>
        <a:noFill/>
        <a:ln w="9525" cmpd="sng">
          <a:noFill/>
        </a:ln>
      </xdr:spPr>
    </xdr:pic>
    <xdr:clientData/>
  </xdr:twoCellAnchor>
  <xdr:twoCellAnchor editAs="oneCell">
    <xdr:from>
      <xdr:col>1</xdr:col>
      <xdr:colOff>123825</xdr:colOff>
      <xdr:row>18</xdr:row>
      <xdr:rowOff>104775</xdr:rowOff>
    </xdr:from>
    <xdr:to>
      <xdr:col>1</xdr:col>
      <xdr:colOff>266700</xdr:colOff>
      <xdr:row>18</xdr:row>
      <xdr:rowOff>228600</xdr:rowOff>
    </xdr:to>
    <xdr:pic>
      <xdr:nvPicPr>
        <xdr:cNvPr id="6" name="ckSW"/>
        <xdr:cNvPicPr preferRelativeResize="1">
          <a:picLocks noChangeAspect="1"/>
        </xdr:cNvPicPr>
      </xdr:nvPicPr>
      <xdr:blipFill>
        <a:blip r:embed="rId4"/>
        <a:stretch>
          <a:fillRect/>
        </a:stretch>
      </xdr:blipFill>
      <xdr:spPr>
        <a:xfrm>
          <a:off x="2838450" y="5410200"/>
          <a:ext cx="142875" cy="123825"/>
        </a:xfrm>
        <a:prstGeom prst="rect">
          <a:avLst/>
        </a:prstGeom>
        <a:noFill/>
        <a:ln w="9525" cmpd="sng">
          <a:noFill/>
        </a:ln>
      </xdr:spPr>
    </xdr:pic>
    <xdr:clientData/>
  </xdr:twoCellAnchor>
  <xdr:twoCellAnchor editAs="oneCell">
    <xdr:from>
      <xdr:col>1</xdr:col>
      <xdr:colOff>123825</xdr:colOff>
      <xdr:row>19</xdr:row>
      <xdr:rowOff>123825</xdr:rowOff>
    </xdr:from>
    <xdr:to>
      <xdr:col>1</xdr:col>
      <xdr:colOff>266700</xdr:colOff>
      <xdr:row>19</xdr:row>
      <xdr:rowOff>247650</xdr:rowOff>
    </xdr:to>
    <xdr:pic>
      <xdr:nvPicPr>
        <xdr:cNvPr id="7" name="ckWetland"/>
        <xdr:cNvPicPr preferRelativeResize="1">
          <a:picLocks noChangeAspect="1"/>
        </xdr:cNvPicPr>
      </xdr:nvPicPr>
      <xdr:blipFill>
        <a:blip r:embed="rId5"/>
        <a:stretch>
          <a:fillRect/>
        </a:stretch>
      </xdr:blipFill>
      <xdr:spPr>
        <a:xfrm>
          <a:off x="2838450" y="5810250"/>
          <a:ext cx="142875" cy="123825"/>
        </a:xfrm>
        <a:prstGeom prst="rect">
          <a:avLst/>
        </a:prstGeom>
        <a:noFill/>
        <a:ln w="9525" cmpd="sng">
          <a:noFill/>
        </a:ln>
      </xdr:spPr>
    </xdr:pic>
    <xdr:clientData/>
  </xdr:twoCellAnchor>
  <xdr:twoCellAnchor editAs="oneCell">
    <xdr:from>
      <xdr:col>1</xdr:col>
      <xdr:colOff>123825</xdr:colOff>
      <xdr:row>20</xdr:row>
      <xdr:rowOff>238125</xdr:rowOff>
    </xdr:from>
    <xdr:to>
      <xdr:col>1</xdr:col>
      <xdr:colOff>266700</xdr:colOff>
      <xdr:row>20</xdr:row>
      <xdr:rowOff>361950</xdr:rowOff>
    </xdr:to>
    <xdr:pic>
      <xdr:nvPicPr>
        <xdr:cNvPr id="8" name="ckEndanger"/>
        <xdr:cNvPicPr preferRelativeResize="1">
          <a:picLocks noChangeAspect="1"/>
        </xdr:cNvPicPr>
      </xdr:nvPicPr>
      <xdr:blipFill>
        <a:blip r:embed="rId6"/>
        <a:stretch>
          <a:fillRect/>
        </a:stretch>
      </xdr:blipFill>
      <xdr:spPr>
        <a:xfrm>
          <a:off x="2838450" y="6305550"/>
          <a:ext cx="142875" cy="123825"/>
        </a:xfrm>
        <a:prstGeom prst="rect">
          <a:avLst/>
        </a:prstGeom>
        <a:noFill/>
        <a:ln w="9525" cmpd="sng">
          <a:noFill/>
        </a:ln>
      </xdr:spPr>
    </xdr:pic>
    <xdr:clientData/>
  </xdr:twoCellAnchor>
  <xdr:twoCellAnchor editAs="oneCell">
    <xdr:from>
      <xdr:col>1</xdr:col>
      <xdr:colOff>123825</xdr:colOff>
      <xdr:row>21</xdr:row>
      <xdr:rowOff>266700</xdr:rowOff>
    </xdr:from>
    <xdr:to>
      <xdr:col>1</xdr:col>
      <xdr:colOff>266700</xdr:colOff>
      <xdr:row>21</xdr:row>
      <xdr:rowOff>390525</xdr:rowOff>
    </xdr:to>
    <xdr:pic>
      <xdr:nvPicPr>
        <xdr:cNvPr id="9" name="ckSens"/>
        <xdr:cNvPicPr preferRelativeResize="1">
          <a:picLocks noChangeAspect="1"/>
        </xdr:cNvPicPr>
      </xdr:nvPicPr>
      <xdr:blipFill>
        <a:blip r:embed="rId7"/>
        <a:stretch>
          <a:fillRect/>
        </a:stretch>
      </xdr:blipFill>
      <xdr:spPr>
        <a:xfrm>
          <a:off x="2838450" y="7000875"/>
          <a:ext cx="142875" cy="123825"/>
        </a:xfrm>
        <a:prstGeom prst="rect">
          <a:avLst/>
        </a:prstGeom>
        <a:noFill/>
        <a:ln w="9525" cmpd="sng">
          <a:noFill/>
        </a:ln>
      </xdr:spPr>
    </xdr:pic>
    <xdr:clientData/>
  </xdr:twoCellAnchor>
  <xdr:twoCellAnchor editAs="oneCell">
    <xdr:from>
      <xdr:col>1</xdr:col>
      <xdr:colOff>123825</xdr:colOff>
      <xdr:row>22</xdr:row>
      <xdr:rowOff>114300</xdr:rowOff>
    </xdr:from>
    <xdr:to>
      <xdr:col>1</xdr:col>
      <xdr:colOff>266700</xdr:colOff>
      <xdr:row>22</xdr:row>
      <xdr:rowOff>238125</xdr:rowOff>
    </xdr:to>
    <xdr:pic>
      <xdr:nvPicPr>
        <xdr:cNvPr id="10" name="ckBiol"/>
        <xdr:cNvPicPr preferRelativeResize="1">
          <a:picLocks noChangeAspect="0"/>
        </xdr:cNvPicPr>
      </xdr:nvPicPr>
      <xdr:blipFill>
        <a:blip r:embed="rId8"/>
        <a:stretch>
          <a:fillRect/>
        </a:stretch>
      </xdr:blipFill>
      <xdr:spPr>
        <a:xfrm>
          <a:off x="2838450" y="7553325"/>
          <a:ext cx="142875" cy="123825"/>
        </a:xfrm>
        <a:prstGeom prst="rect">
          <a:avLst/>
        </a:prstGeom>
        <a:noFill/>
        <a:ln w="9525" cmpd="sng">
          <a:noFill/>
        </a:ln>
      </xdr:spPr>
    </xdr:pic>
    <xdr:clientData/>
  </xdr:twoCellAnchor>
  <xdr:twoCellAnchor editAs="oneCell">
    <xdr:from>
      <xdr:col>1</xdr:col>
      <xdr:colOff>123825</xdr:colOff>
      <xdr:row>23</xdr:row>
      <xdr:rowOff>266700</xdr:rowOff>
    </xdr:from>
    <xdr:to>
      <xdr:col>1</xdr:col>
      <xdr:colOff>266700</xdr:colOff>
      <xdr:row>23</xdr:row>
      <xdr:rowOff>390525</xdr:rowOff>
    </xdr:to>
    <xdr:pic>
      <xdr:nvPicPr>
        <xdr:cNvPr id="11" name="ckHist"/>
        <xdr:cNvPicPr preferRelativeResize="1">
          <a:picLocks noChangeAspect="1"/>
        </xdr:cNvPicPr>
      </xdr:nvPicPr>
      <xdr:blipFill>
        <a:blip r:embed="rId9"/>
        <a:stretch>
          <a:fillRect/>
        </a:stretch>
      </xdr:blipFill>
      <xdr:spPr>
        <a:xfrm>
          <a:off x="2838450" y="8086725"/>
          <a:ext cx="142875" cy="123825"/>
        </a:xfrm>
        <a:prstGeom prst="rect">
          <a:avLst/>
        </a:prstGeom>
        <a:noFill/>
        <a:ln w="9525" cmpd="sng">
          <a:noFill/>
        </a:ln>
      </xdr:spPr>
    </xdr:pic>
    <xdr:clientData/>
  </xdr:twoCellAnchor>
  <xdr:twoCellAnchor editAs="oneCell">
    <xdr:from>
      <xdr:col>1</xdr:col>
      <xdr:colOff>123825</xdr:colOff>
      <xdr:row>24</xdr:row>
      <xdr:rowOff>161925</xdr:rowOff>
    </xdr:from>
    <xdr:to>
      <xdr:col>1</xdr:col>
      <xdr:colOff>266700</xdr:colOff>
      <xdr:row>24</xdr:row>
      <xdr:rowOff>285750</xdr:rowOff>
    </xdr:to>
    <xdr:pic>
      <xdr:nvPicPr>
        <xdr:cNvPr id="12" name="ckAg"/>
        <xdr:cNvPicPr preferRelativeResize="1">
          <a:picLocks noChangeAspect="1"/>
        </xdr:cNvPicPr>
      </xdr:nvPicPr>
      <xdr:blipFill>
        <a:blip r:embed="rId10"/>
        <a:stretch>
          <a:fillRect/>
        </a:stretch>
      </xdr:blipFill>
      <xdr:spPr>
        <a:xfrm>
          <a:off x="2838450" y="8686800"/>
          <a:ext cx="142875" cy="123825"/>
        </a:xfrm>
        <a:prstGeom prst="rect">
          <a:avLst/>
        </a:prstGeom>
        <a:noFill/>
        <a:ln w="9525" cmpd="sng">
          <a:noFill/>
        </a:ln>
      </xdr:spPr>
    </xdr:pic>
    <xdr:clientData/>
  </xdr:twoCellAnchor>
  <xdr:twoCellAnchor editAs="oneCell">
    <xdr:from>
      <xdr:col>1</xdr:col>
      <xdr:colOff>57150</xdr:colOff>
      <xdr:row>17</xdr:row>
      <xdr:rowOff>95250</xdr:rowOff>
    </xdr:from>
    <xdr:to>
      <xdr:col>2</xdr:col>
      <xdr:colOff>1733550</xdr:colOff>
      <xdr:row>17</xdr:row>
      <xdr:rowOff>342900</xdr:rowOff>
    </xdr:to>
    <xdr:pic>
      <xdr:nvPicPr>
        <xdr:cNvPr id="13" name="cmbGWtyp"/>
        <xdr:cNvPicPr preferRelativeResize="1">
          <a:picLocks noChangeAspect="1"/>
        </xdr:cNvPicPr>
      </xdr:nvPicPr>
      <xdr:blipFill>
        <a:blip r:embed="rId11"/>
        <a:stretch>
          <a:fillRect/>
        </a:stretch>
      </xdr:blipFill>
      <xdr:spPr>
        <a:xfrm>
          <a:off x="2771775" y="5019675"/>
          <a:ext cx="2028825" cy="247650"/>
        </a:xfrm>
        <a:prstGeom prst="rect">
          <a:avLst/>
        </a:prstGeom>
        <a:noFill/>
        <a:ln w="9525" cmpd="sng">
          <a:noFill/>
        </a:ln>
      </xdr:spPr>
    </xdr:pic>
    <xdr:clientData/>
  </xdr:twoCellAnchor>
  <xdr:twoCellAnchor editAs="oneCell">
    <xdr:from>
      <xdr:col>2</xdr:col>
      <xdr:colOff>2819400</xdr:colOff>
      <xdr:row>0</xdr:row>
      <xdr:rowOff>171450</xdr:rowOff>
    </xdr:from>
    <xdr:to>
      <xdr:col>2</xdr:col>
      <xdr:colOff>4124325</xdr:colOff>
      <xdr:row>0</xdr:row>
      <xdr:rowOff>552450</xdr:rowOff>
    </xdr:to>
    <xdr:pic>
      <xdr:nvPicPr>
        <xdr:cNvPr id="14" name="cmdClear"/>
        <xdr:cNvPicPr preferRelativeResize="1">
          <a:picLocks noChangeAspect="1"/>
        </xdr:cNvPicPr>
      </xdr:nvPicPr>
      <xdr:blipFill>
        <a:blip r:embed="rId12"/>
        <a:stretch>
          <a:fillRect/>
        </a:stretch>
      </xdr:blipFill>
      <xdr:spPr>
        <a:xfrm>
          <a:off x="5886450" y="171450"/>
          <a:ext cx="130492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18</xdr:row>
      <xdr:rowOff>28575</xdr:rowOff>
    </xdr:from>
    <xdr:to>
      <xdr:col>2</xdr:col>
      <xdr:colOff>781050</xdr:colOff>
      <xdr:row>18</xdr:row>
      <xdr:rowOff>352425</xdr:rowOff>
    </xdr:to>
    <xdr:pic>
      <xdr:nvPicPr>
        <xdr:cNvPr id="1" name="txtTime"/>
        <xdr:cNvPicPr preferRelativeResize="1">
          <a:picLocks noChangeAspect="0"/>
        </xdr:cNvPicPr>
      </xdr:nvPicPr>
      <xdr:blipFill>
        <a:blip r:embed="rId1"/>
        <a:stretch>
          <a:fillRect/>
        </a:stretch>
      </xdr:blipFill>
      <xdr:spPr>
        <a:xfrm>
          <a:off x="5715000" y="9029700"/>
          <a:ext cx="781050" cy="323850"/>
        </a:xfrm>
        <a:prstGeom prst="rect">
          <a:avLst/>
        </a:prstGeom>
        <a:solidFill>
          <a:srgbClr val="FFFFFF"/>
        </a:solidFill>
        <a:ln w="9525" cmpd="sng">
          <a:solidFill>
            <a:srgbClr val="0000FF"/>
          </a:solidFill>
          <a:headEnd type="none"/>
          <a:tailEnd type="none"/>
        </a:ln>
      </xdr:spPr>
    </xdr:pic>
    <xdr:clientData/>
  </xdr:twoCellAnchor>
  <xdr:twoCellAnchor editAs="oneCell">
    <xdr:from>
      <xdr:col>1</xdr:col>
      <xdr:colOff>123825</xdr:colOff>
      <xdr:row>3</xdr:row>
      <xdr:rowOff>133350</xdr:rowOff>
    </xdr:from>
    <xdr:to>
      <xdr:col>1</xdr:col>
      <xdr:colOff>2276475</xdr:colOff>
      <xdr:row>3</xdr:row>
      <xdr:rowOff>381000</xdr:rowOff>
    </xdr:to>
    <xdr:pic>
      <xdr:nvPicPr>
        <xdr:cNvPr id="2" name="cmbIng1"/>
        <xdr:cNvPicPr preferRelativeResize="1">
          <a:picLocks noChangeAspect="1"/>
        </xdr:cNvPicPr>
      </xdr:nvPicPr>
      <xdr:blipFill>
        <a:blip r:embed="rId2"/>
        <a:stretch>
          <a:fillRect/>
        </a:stretch>
      </xdr:blipFill>
      <xdr:spPr>
        <a:xfrm>
          <a:off x="3457575" y="2038350"/>
          <a:ext cx="2152650" cy="247650"/>
        </a:xfrm>
        <a:prstGeom prst="rect">
          <a:avLst/>
        </a:prstGeom>
        <a:noFill/>
        <a:ln w="9525" cmpd="sng">
          <a:noFill/>
        </a:ln>
      </xdr:spPr>
    </xdr:pic>
    <xdr:clientData/>
  </xdr:twoCellAnchor>
  <xdr:twoCellAnchor editAs="oneCell">
    <xdr:from>
      <xdr:col>1</xdr:col>
      <xdr:colOff>123825</xdr:colOff>
      <xdr:row>5</xdr:row>
      <xdr:rowOff>123825</xdr:rowOff>
    </xdr:from>
    <xdr:to>
      <xdr:col>1</xdr:col>
      <xdr:colOff>2276475</xdr:colOff>
      <xdr:row>5</xdr:row>
      <xdr:rowOff>371475</xdr:rowOff>
    </xdr:to>
    <xdr:pic>
      <xdr:nvPicPr>
        <xdr:cNvPr id="3" name="cmbIng3"/>
        <xdr:cNvPicPr preferRelativeResize="1">
          <a:picLocks noChangeAspect="1"/>
        </xdr:cNvPicPr>
      </xdr:nvPicPr>
      <xdr:blipFill>
        <a:blip r:embed="rId3"/>
        <a:stretch>
          <a:fillRect/>
        </a:stretch>
      </xdr:blipFill>
      <xdr:spPr>
        <a:xfrm>
          <a:off x="3457575" y="2895600"/>
          <a:ext cx="2152650" cy="247650"/>
        </a:xfrm>
        <a:prstGeom prst="rect">
          <a:avLst/>
        </a:prstGeom>
        <a:noFill/>
        <a:ln w="9525" cmpd="sng">
          <a:noFill/>
        </a:ln>
      </xdr:spPr>
    </xdr:pic>
    <xdr:clientData/>
  </xdr:twoCellAnchor>
  <xdr:twoCellAnchor editAs="oneCell">
    <xdr:from>
      <xdr:col>1</xdr:col>
      <xdr:colOff>123825</xdr:colOff>
      <xdr:row>4</xdr:row>
      <xdr:rowOff>85725</xdr:rowOff>
    </xdr:from>
    <xdr:to>
      <xdr:col>1</xdr:col>
      <xdr:colOff>2276475</xdr:colOff>
      <xdr:row>4</xdr:row>
      <xdr:rowOff>333375</xdr:rowOff>
    </xdr:to>
    <xdr:pic>
      <xdr:nvPicPr>
        <xdr:cNvPr id="4" name="cmbIng2"/>
        <xdr:cNvPicPr preferRelativeResize="1">
          <a:picLocks noChangeAspect="1"/>
        </xdr:cNvPicPr>
      </xdr:nvPicPr>
      <xdr:blipFill>
        <a:blip r:embed="rId4"/>
        <a:stretch>
          <a:fillRect/>
        </a:stretch>
      </xdr:blipFill>
      <xdr:spPr>
        <a:xfrm>
          <a:off x="3457575" y="2476500"/>
          <a:ext cx="2152650" cy="247650"/>
        </a:xfrm>
        <a:prstGeom prst="rect">
          <a:avLst/>
        </a:prstGeom>
        <a:noFill/>
        <a:ln w="9525" cmpd="sng">
          <a:noFill/>
        </a:ln>
      </xdr:spPr>
    </xdr:pic>
    <xdr:clientData/>
  </xdr:twoCellAnchor>
  <xdr:twoCellAnchor editAs="oneCell">
    <xdr:from>
      <xdr:col>1</xdr:col>
      <xdr:colOff>123825</xdr:colOff>
      <xdr:row>6</xdr:row>
      <xdr:rowOff>114300</xdr:rowOff>
    </xdr:from>
    <xdr:to>
      <xdr:col>1</xdr:col>
      <xdr:colOff>2276475</xdr:colOff>
      <xdr:row>6</xdr:row>
      <xdr:rowOff>361950</xdr:rowOff>
    </xdr:to>
    <xdr:pic>
      <xdr:nvPicPr>
        <xdr:cNvPr id="5" name="cmbIng4"/>
        <xdr:cNvPicPr preferRelativeResize="1">
          <a:picLocks noChangeAspect="1"/>
        </xdr:cNvPicPr>
      </xdr:nvPicPr>
      <xdr:blipFill>
        <a:blip r:embed="rId5"/>
        <a:stretch>
          <a:fillRect/>
        </a:stretch>
      </xdr:blipFill>
      <xdr:spPr>
        <a:xfrm>
          <a:off x="3457575" y="3419475"/>
          <a:ext cx="2152650" cy="247650"/>
        </a:xfrm>
        <a:prstGeom prst="rect">
          <a:avLst/>
        </a:prstGeom>
        <a:noFill/>
        <a:ln w="9525" cmpd="sng">
          <a:noFill/>
        </a:ln>
      </xdr:spPr>
    </xdr:pic>
    <xdr:clientData/>
  </xdr:twoCellAnchor>
  <xdr:twoCellAnchor editAs="oneCell">
    <xdr:from>
      <xdr:col>1</xdr:col>
      <xdr:colOff>123825</xdr:colOff>
      <xdr:row>7</xdr:row>
      <xdr:rowOff>123825</xdr:rowOff>
    </xdr:from>
    <xdr:to>
      <xdr:col>1</xdr:col>
      <xdr:colOff>2276475</xdr:colOff>
      <xdr:row>7</xdr:row>
      <xdr:rowOff>371475</xdr:rowOff>
    </xdr:to>
    <xdr:pic>
      <xdr:nvPicPr>
        <xdr:cNvPr id="6" name="cmbIng5"/>
        <xdr:cNvPicPr preferRelativeResize="1">
          <a:picLocks noChangeAspect="1"/>
        </xdr:cNvPicPr>
      </xdr:nvPicPr>
      <xdr:blipFill>
        <a:blip r:embed="rId6"/>
        <a:stretch>
          <a:fillRect/>
        </a:stretch>
      </xdr:blipFill>
      <xdr:spPr>
        <a:xfrm>
          <a:off x="3457575" y="3914775"/>
          <a:ext cx="2152650" cy="247650"/>
        </a:xfrm>
        <a:prstGeom prst="rect">
          <a:avLst/>
        </a:prstGeom>
        <a:noFill/>
        <a:ln w="9525" cmpd="sng">
          <a:noFill/>
        </a:ln>
      </xdr:spPr>
    </xdr:pic>
    <xdr:clientData/>
  </xdr:twoCellAnchor>
  <xdr:twoCellAnchor editAs="oneCell">
    <xdr:from>
      <xdr:col>2</xdr:col>
      <xdr:colOff>133350</xdr:colOff>
      <xdr:row>3</xdr:row>
      <xdr:rowOff>142875</xdr:rowOff>
    </xdr:from>
    <xdr:to>
      <xdr:col>2</xdr:col>
      <xdr:colOff>2286000</xdr:colOff>
      <xdr:row>3</xdr:row>
      <xdr:rowOff>390525</xdr:rowOff>
    </xdr:to>
    <xdr:pic>
      <xdr:nvPicPr>
        <xdr:cNvPr id="7" name="cmbDerm1"/>
        <xdr:cNvPicPr preferRelativeResize="1">
          <a:picLocks noChangeAspect="1"/>
        </xdr:cNvPicPr>
      </xdr:nvPicPr>
      <xdr:blipFill>
        <a:blip r:embed="rId7"/>
        <a:stretch>
          <a:fillRect/>
        </a:stretch>
      </xdr:blipFill>
      <xdr:spPr>
        <a:xfrm>
          <a:off x="5848350" y="2047875"/>
          <a:ext cx="2152650" cy="247650"/>
        </a:xfrm>
        <a:prstGeom prst="rect">
          <a:avLst/>
        </a:prstGeom>
        <a:noFill/>
        <a:ln w="9525" cmpd="sng">
          <a:noFill/>
        </a:ln>
      </xdr:spPr>
    </xdr:pic>
    <xdr:clientData/>
  </xdr:twoCellAnchor>
  <xdr:twoCellAnchor editAs="oneCell">
    <xdr:from>
      <xdr:col>2</xdr:col>
      <xdr:colOff>133350</xdr:colOff>
      <xdr:row>4</xdr:row>
      <xdr:rowOff>85725</xdr:rowOff>
    </xdr:from>
    <xdr:to>
      <xdr:col>2</xdr:col>
      <xdr:colOff>2286000</xdr:colOff>
      <xdr:row>4</xdr:row>
      <xdr:rowOff>333375</xdr:rowOff>
    </xdr:to>
    <xdr:pic>
      <xdr:nvPicPr>
        <xdr:cNvPr id="8" name="cmbDerm2"/>
        <xdr:cNvPicPr preferRelativeResize="1">
          <a:picLocks noChangeAspect="1"/>
        </xdr:cNvPicPr>
      </xdr:nvPicPr>
      <xdr:blipFill>
        <a:blip r:embed="rId8"/>
        <a:stretch>
          <a:fillRect/>
        </a:stretch>
      </xdr:blipFill>
      <xdr:spPr>
        <a:xfrm>
          <a:off x="5848350" y="2476500"/>
          <a:ext cx="2152650" cy="247650"/>
        </a:xfrm>
        <a:prstGeom prst="rect">
          <a:avLst/>
        </a:prstGeom>
        <a:noFill/>
        <a:ln w="9525" cmpd="sng">
          <a:noFill/>
        </a:ln>
      </xdr:spPr>
    </xdr:pic>
    <xdr:clientData/>
  </xdr:twoCellAnchor>
  <xdr:twoCellAnchor editAs="oneCell">
    <xdr:from>
      <xdr:col>2</xdr:col>
      <xdr:colOff>133350</xdr:colOff>
      <xdr:row>5</xdr:row>
      <xdr:rowOff>123825</xdr:rowOff>
    </xdr:from>
    <xdr:to>
      <xdr:col>2</xdr:col>
      <xdr:colOff>2286000</xdr:colOff>
      <xdr:row>5</xdr:row>
      <xdr:rowOff>371475</xdr:rowOff>
    </xdr:to>
    <xdr:pic>
      <xdr:nvPicPr>
        <xdr:cNvPr id="9" name="cmbDerm3"/>
        <xdr:cNvPicPr preferRelativeResize="1">
          <a:picLocks noChangeAspect="1"/>
        </xdr:cNvPicPr>
      </xdr:nvPicPr>
      <xdr:blipFill>
        <a:blip r:embed="rId9"/>
        <a:stretch>
          <a:fillRect/>
        </a:stretch>
      </xdr:blipFill>
      <xdr:spPr>
        <a:xfrm>
          <a:off x="5848350" y="2895600"/>
          <a:ext cx="2152650" cy="247650"/>
        </a:xfrm>
        <a:prstGeom prst="rect">
          <a:avLst/>
        </a:prstGeom>
        <a:noFill/>
        <a:ln w="9525" cmpd="sng">
          <a:noFill/>
        </a:ln>
      </xdr:spPr>
    </xdr:pic>
    <xdr:clientData/>
  </xdr:twoCellAnchor>
  <xdr:twoCellAnchor editAs="oneCell">
    <xdr:from>
      <xdr:col>2</xdr:col>
      <xdr:colOff>133350</xdr:colOff>
      <xdr:row>6</xdr:row>
      <xdr:rowOff>114300</xdr:rowOff>
    </xdr:from>
    <xdr:to>
      <xdr:col>2</xdr:col>
      <xdr:colOff>2286000</xdr:colOff>
      <xdr:row>6</xdr:row>
      <xdr:rowOff>361950</xdr:rowOff>
    </xdr:to>
    <xdr:pic>
      <xdr:nvPicPr>
        <xdr:cNvPr id="10" name="cmbDerm4"/>
        <xdr:cNvPicPr preferRelativeResize="1">
          <a:picLocks noChangeAspect="1"/>
        </xdr:cNvPicPr>
      </xdr:nvPicPr>
      <xdr:blipFill>
        <a:blip r:embed="rId10"/>
        <a:stretch>
          <a:fillRect/>
        </a:stretch>
      </xdr:blipFill>
      <xdr:spPr>
        <a:xfrm>
          <a:off x="5848350" y="3419475"/>
          <a:ext cx="2152650" cy="247650"/>
        </a:xfrm>
        <a:prstGeom prst="rect">
          <a:avLst/>
        </a:prstGeom>
        <a:noFill/>
        <a:ln w="9525" cmpd="sng">
          <a:noFill/>
        </a:ln>
      </xdr:spPr>
    </xdr:pic>
    <xdr:clientData/>
  </xdr:twoCellAnchor>
  <xdr:twoCellAnchor editAs="oneCell">
    <xdr:from>
      <xdr:col>2</xdr:col>
      <xdr:colOff>133350</xdr:colOff>
      <xdr:row>7</xdr:row>
      <xdr:rowOff>123825</xdr:rowOff>
    </xdr:from>
    <xdr:to>
      <xdr:col>2</xdr:col>
      <xdr:colOff>2286000</xdr:colOff>
      <xdr:row>7</xdr:row>
      <xdr:rowOff>371475</xdr:rowOff>
    </xdr:to>
    <xdr:pic>
      <xdr:nvPicPr>
        <xdr:cNvPr id="11" name="cmbDerm5"/>
        <xdr:cNvPicPr preferRelativeResize="1">
          <a:picLocks noChangeAspect="1"/>
        </xdr:cNvPicPr>
      </xdr:nvPicPr>
      <xdr:blipFill>
        <a:blip r:embed="rId11"/>
        <a:stretch>
          <a:fillRect/>
        </a:stretch>
      </xdr:blipFill>
      <xdr:spPr>
        <a:xfrm>
          <a:off x="5848350" y="3914775"/>
          <a:ext cx="2152650" cy="247650"/>
        </a:xfrm>
        <a:prstGeom prst="rect">
          <a:avLst/>
        </a:prstGeom>
        <a:noFill/>
        <a:ln w="9525" cmpd="sng">
          <a:noFill/>
        </a:ln>
      </xdr:spPr>
    </xdr:pic>
    <xdr:clientData/>
  </xdr:twoCellAnchor>
  <xdr:twoCellAnchor editAs="oneCell">
    <xdr:from>
      <xdr:col>3</xdr:col>
      <xdr:colOff>123825</xdr:colOff>
      <xdr:row>3</xdr:row>
      <xdr:rowOff>142875</xdr:rowOff>
    </xdr:from>
    <xdr:to>
      <xdr:col>3</xdr:col>
      <xdr:colOff>2276475</xdr:colOff>
      <xdr:row>3</xdr:row>
      <xdr:rowOff>390525</xdr:rowOff>
    </xdr:to>
    <xdr:pic>
      <xdr:nvPicPr>
        <xdr:cNvPr id="12" name="cmbInh1"/>
        <xdr:cNvPicPr preferRelativeResize="1">
          <a:picLocks noChangeAspect="1"/>
        </xdr:cNvPicPr>
      </xdr:nvPicPr>
      <xdr:blipFill>
        <a:blip r:embed="rId12"/>
        <a:stretch>
          <a:fillRect/>
        </a:stretch>
      </xdr:blipFill>
      <xdr:spPr>
        <a:xfrm>
          <a:off x="8220075" y="2047875"/>
          <a:ext cx="2152650" cy="247650"/>
        </a:xfrm>
        <a:prstGeom prst="rect">
          <a:avLst/>
        </a:prstGeom>
        <a:noFill/>
        <a:ln w="9525" cmpd="sng">
          <a:noFill/>
        </a:ln>
      </xdr:spPr>
    </xdr:pic>
    <xdr:clientData/>
  </xdr:twoCellAnchor>
  <xdr:twoCellAnchor editAs="oneCell">
    <xdr:from>
      <xdr:col>3</xdr:col>
      <xdr:colOff>123825</xdr:colOff>
      <xdr:row>4</xdr:row>
      <xdr:rowOff>85725</xdr:rowOff>
    </xdr:from>
    <xdr:to>
      <xdr:col>3</xdr:col>
      <xdr:colOff>2276475</xdr:colOff>
      <xdr:row>4</xdr:row>
      <xdr:rowOff>333375</xdr:rowOff>
    </xdr:to>
    <xdr:pic>
      <xdr:nvPicPr>
        <xdr:cNvPr id="13" name="cmbInh2"/>
        <xdr:cNvPicPr preferRelativeResize="1">
          <a:picLocks noChangeAspect="1"/>
        </xdr:cNvPicPr>
      </xdr:nvPicPr>
      <xdr:blipFill>
        <a:blip r:embed="rId13"/>
        <a:stretch>
          <a:fillRect/>
        </a:stretch>
      </xdr:blipFill>
      <xdr:spPr>
        <a:xfrm>
          <a:off x="8220075" y="2476500"/>
          <a:ext cx="2152650" cy="247650"/>
        </a:xfrm>
        <a:prstGeom prst="rect">
          <a:avLst/>
        </a:prstGeom>
        <a:noFill/>
        <a:ln w="9525" cmpd="sng">
          <a:noFill/>
        </a:ln>
      </xdr:spPr>
    </xdr:pic>
    <xdr:clientData/>
  </xdr:twoCellAnchor>
  <xdr:twoCellAnchor editAs="oneCell">
    <xdr:from>
      <xdr:col>3</xdr:col>
      <xdr:colOff>123825</xdr:colOff>
      <xdr:row>5</xdr:row>
      <xdr:rowOff>123825</xdr:rowOff>
    </xdr:from>
    <xdr:to>
      <xdr:col>3</xdr:col>
      <xdr:colOff>2276475</xdr:colOff>
      <xdr:row>5</xdr:row>
      <xdr:rowOff>371475</xdr:rowOff>
    </xdr:to>
    <xdr:pic>
      <xdr:nvPicPr>
        <xdr:cNvPr id="14" name="cmbInh3"/>
        <xdr:cNvPicPr preferRelativeResize="1">
          <a:picLocks noChangeAspect="1"/>
        </xdr:cNvPicPr>
      </xdr:nvPicPr>
      <xdr:blipFill>
        <a:blip r:embed="rId14"/>
        <a:stretch>
          <a:fillRect/>
        </a:stretch>
      </xdr:blipFill>
      <xdr:spPr>
        <a:xfrm>
          <a:off x="8220075" y="2895600"/>
          <a:ext cx="2152650" cy="247650"/>
        </a:xfrm>
        <a:prstGeom prst="rect">
          <a:avLst/>
        </a:prstGeom>
        <a:noFill/>
        <a:ln w="9525" cmpd="sng">
          <a:noFill/>
        </a:ln>
      </xdr:spPr>
    </xdr:pic>
    <xdr:clientData/>
  </xdr:twoCellAnchor>
  <xdr:twoCellAnchor editAs="oneCell">
    <xdr:from>
      <xdr:col>3</xdr:col>
      <xdr:colOff>123825</xdr:colOff>
      <xdr:row>6</xdr:row>
      <xdr:rowOff>114300</xdr:rowOff>
    </xdr:from>
    <xdr:to>
      <xdr:col>3</xdr:col>
      <xdr:colOff>2276475</xdr:colOff>
      <xdr:row>6</xdr:row>
      <xdr:rowOff>361950</xdr:rowOff>
    </xdr:to>
    <xdr:pic>
      <xdr:nvPicPr>
        <xdr:cNvPr id="15" name="cmbInh4"/>
        <xdr:cNvPicPr preferRelativeResize="1">
          <a:picLocks noChangeAspect="1"/>
        </xdr:cNvPicPr>
      </xdr:nvPicPr>
      <xdr:blipFill>
        <a:blip r:embed="rId15"/>
        <a:stretch>
          <a:fillRect/>
        </a:stretch>
      </xdr:blipFill>
      <xdr:spPr>
        <a:xfrm>
          <a:off x="8220075" y="3419475"/>
          <a:ext cx="2152650" cy="247650"/>
        </a:xfrm>
        <a:prstGeom prst="rect">
          <a:avLst/>
        </a:prstGeom>
        <a:noFill/>
        <a:ln w="9525" cmpd="sng">
          <a:noFill/>
        </a:ln>
      </xdr:spPr>
    </xdr:pic>
    <xdr:clientData/>
  </xdr:twoCellAnchor>
  <xdr:twoCellAnchor editAs="oneCell">
    <xdr:from>
      <xdr:col>3</xdr:col>
      <xdr:colOff>123825</xdr:colOff>
      <xdr:row>7</xdr:row>
      <xdr:rowOff>123825</xdr:rowOff>
    </xdr:from>
    <xdr:to>
      <xdr:col>3</xdr:col>
      <xdr:colOff>2276475</xdr:colOff>
      <xdr:row>7</xdr:row>
      <xdr:rowOff>371475</xdr:rowOff>
    </xdr:to>
    <xdr:pic>
      <xdr:nvPicPr>
        <xdr:cNvPr id="16" name="cmbInh5"/>
        <xdr:cNvPicPr preferRelativeResize="1">
          <a:picLocks noChangeAspect="1"/>
        </xdr:cNvPicPr>
      </xdr:nvPicPr>
      <xdr:blipFill>
        <a:blip r:embed="rId16"/>
        <a:stretch>
          <a:fillRect/>
        </a:stretch>
      </xdr:blipFill>
      <xdr:spPr>
        <a:xfrm>
          <a:off x="8220075" y="3914775"/>
          <a:ext cx="2152650" cy="247650"/>
        </a:xfrm>
        <a:prstGeom prst="rect">
          <a:avLst/>
        </a:prstGeom>
        <a:noFill/>
        <a:ln w="9525" cmpd="sng">
          <a:noFill/>
        </a:ln>
      </xdr:spPr>
    </xdr:pic>
    <xdr:clientData/>
  </xdr:twoCellAnchor>
  <xdr:twoCellAnchor editAs="oneCell">
    <xdr:from>
      <xdr:col>4</xdr:col>
      <xdr:colOff>104775</xdr:colOff>
      <xdr:row>3</xdr:row>
      <xdr:rowOff>133350</xdr:rowOff>
    </xdr:from>
    <xdr:to>
      <xdr:col>4</xdr:col>
      <xdr:colOff>2257425</xdr:colOff>
      <xdr:row>3</xdr:row>
      <xdr:rowOff>381000</xdr:rowOff>
    </xdr:to>
    <xdr:pic>
      <xdr:nvPicPr>
        <xdr:cNvPr id="17" name="cmbOth1"/>
        <xdr:cNvPicPr preferRelativeResize="1">
          <a:picLocks noChangeAspect="1"/>
        </xdr:cNvPicPr>
      </xdr:nvPicPr>
      <xdr:blipFill>
        <a:blip r:embed="rId17"/>
        <a:stretch>
          <a:fillRect/>
        </a:stretch>
      </xdr:blipFill>
      <xdr:spPr>
        <a:xfrm>
          <a:off x="10582275" y="2038350"/>
          <a:ext cx="2152650" cy="247650"/>
        </a:xfrm>
        <a:prstGeom prst="rect">
          <a:avLst/>
        </a:prstGeom>
        <a:noFill/>
        <a:ln w="9525" cmpd="sng">
          <a:noFill/>
        </a:ln>
      </xdr:spPr>
    </xdr:pic>
    <xdr:clientData/>
  </xdr:twoCellAnchor>
  <xdr:twoCellAnchor editAs="oneCell">
    <xdr:from>
      <xdr:col>4</xdr:col>
      <xdr:colOff>104775</xdr:colOff>
      <xdr:row>4</xdr:row>
      <xdr:rowOff>85725</xdr:rowOff>
    </xdr:from>
    <xdr:to>
      <xdr:col>4</xdr:col>
      <xdr:colOff>2257425</xdr:colOff>
      <xdr:row>4</xdr:row>
      <xdr:rowOff>333375</xdr:rowOff>
    </xdr:to>
    <xdr:pic>
      <xdr:nvPicPr>
        <xdr:cNvPr id="18" name="cmbOth2"/>
        <xdr:cNvPicPr preferRelativeResize="1">
          <a:picLocks noChangeAspect="1"/>
        </xdr:cNvPicPr>
      </xdr:nvPicPr>
      <xdr:blipFill>
        <a:blip r:embed="rId18"/>
        <a:stretch>
          <a:fillRect/>
        </a:stretch>
      </xdr:blipFill>
      <xdr:spPr>
        <a:xfrm>
          <a:off x="10582275" y="2476500"/>
          <a:ext cx="2152650" cy="247650"/>
        </a:xfrm>
        <a:prstGeom prst="rect">
          <a:avLst/>
        </a:prstGeom>
        <a:noFill/>
        <a:ln w="9525" cmpd="sng">
          <a:noFill/>
        </a:ln>
      </xdr:spPr>
    </xdr:pic>
    <xdr:clientData/>
  </xdr:twoCellAnchor>
  <xdr:twoCellAnchor editAs="oneCell">
    <xdr:from>
      <xdr:col>4</xdr:col>
      <xdr:colOff>104775</xdr:colOff>
      <xdr:row>5</xdr:row>
      <xdr:rowOff>123825</xdr:rowOff>
    </xdr:from>
    <xdr:to>
      <xdr:col>4</xdr:col>
      <xdr:colOff>2257425</xdr:colOff>
      <xdr:row>5</xdr:row>
      <xdr:rowOff>371475</xdr:rowOff>
    </xdr:to>
    <xdr:pic>
      <xdr:nvPicPr>
        <xdr:cNvPr id="19" name="cmbOth3"/>
        <xdr:cNvPicPr preferRelativeResize="1">
          <a:picLocks noChangeAspect="1"/>
        </xdr:cNvPicPr>
      </xdr:nvPicPr>
      <xdr:blipFill>
        <a:blip r:embed="rId19"/>
        <a:stretch>
          <a:fillRect/>
        </a:stretch>
      </xdr:blipFill>
      <xdr:spPr>
        <a:xfrm>
          <a:off x="10582275" y="2895600"/>
          <a:ext cx="2152650" cy="247650"/>
        </a:xfrm>
        <a:prstGeom prst="rect">
          <a:avLst/>
        </a:prstGeom>
        <a:noFill/>
        <a:ln w="9525" cmpd="sng">
          <a:noFill/>
        </a:ln>
      </xdr:spPr>
    </xdr:pic>
    <xdr:clientData/>
  </xdr:twoCellAnchor>
  <xdr:twoCellAnchor editAs="oneCell">
    <xdr:from>
      <xdr:col>4</xdr:col>
      <xdr:colOff>104775</xdr:colOff>
      <xdr:row>6</xdr:row>
      <xdr:rowOff>114300</xdr:rowOff>
    </xdr:from>
    <xdr:to>
      <xdr:col>4</xdr:col>
      <xdr:colOff>2257425</xdr:colOff>
      <xdr:row>6</xdr:row>
      <xdr:rowOff>361950</xdr:rowOff>
    </xdr:to>
    <xdr:pic>
      <xdr:nvPicPr>
        <xdr:cNvPr id="20" name="cmbOth4"/>
        <xdr:cNvPicPr preferRelativeResize="1">
          <a:picLocks noChangeAspect="1"/>
        </xdr:cNvPicPr>
      </xdr:nvPicPr>
      <xdr:blipFill>
        <a:blip r:embed="rId20"/>
        <a:stretch>
          <a:fillRect/>
        </a:stretch>
      </xdr:blipFill>
      <xdr:spPr>
        <a:xfrm>
          <a:off x="10582275" y="3419475"/>
          <a:ext cx="2152650" cy="247650"/>
        </a:xfrm>
        <a:prstGeom prst="rect">
          <a:avLst/>
        </a:prstGeom>
        <a:noFill/>
        <a:ln w="9525" cmpd="sng">
          <a:noFill/>
        </a:ln>
      </xdr:spPr>
    </xdr:pic>
    <xdr:clientData/>
  </xdr:twoCellAnchor>
  <xdr:twoCellAnchor editAs="oneCell">
    <xdr:from>
      <xdr:col>4</xdr:col>
      <xdr:colOff>104775</xdr:colOff>
      <xdr:row>7</xdr:row>
      <xdr:rowOff>123825</xdr:rowOff>
    </xdr:from>
    <xdr:to>
      <xdr:col>4</xdr:col>
      <xdr:colOff>2257425</xdr:colOff>
      <xdr:row>7</xdr:row>
      <xdr:rowOff>371475</xdr:rowOff>
    </xdr:to>
    <xdr:pic>
      <xdr:nvPicPr>
        <xdr:cNvPr id="21" name="cmbOth5"/>
        <xdr:cNvPicPr preferRelativeResize="1">
          <a:picLocks noChangeAspect="1"/>
        </xdr:cNvPicPr>
      </xdr:nvPicPr>
      <xdr:blipFill>
        <a:blip r:embed="rId21"/>
        <a:stretch>
          <a:fillRect/>
        </a:stretch>
      </xdr:blipFill>
      <xdr:spPr>
        <a:xfrm>
          <a:off x="10582275" y="3914775"/>
          <a:ext cx="2152650" cy="247650"/>
        </a:xfrm>
        <a:prstGeom prst="rect">
          <a:avLst/>
        </a:prstGeom>
        <a:noFill/>
        <a:ln w="9525" cmpd="sng">
          <a:noFill/>
        </a:ln>
      </xdr:spPr>
    </xdr:pic>
    <xdr:clientData/>
  </xdr:twoCellAnchor>
  <xdr:twoCellAnchor editAs="oneCell">
    <xdr:from>
      <xdr:col>1</xdr:col>
      <xdr:colOff>142875</xdr:colOff>
      <xdr:row>9</xdr:row>
      <xdr:rowOff>161925</xdr:rowOff>
    </xdr:from>
    <xdr:to>
      <xdr:col>1</xdr:col>
      <xdr:colOff>2295525</xdr:colOff>
      <xdr:row>9</xdr:row>
      <xdr:rowOff>409575</xdr:rowOff>
    </xdr:to>
    <xdr:pic>
      <xdr:nvPicPr>
        <xdr:cNvPr id="22" name="cmbWHS1"/>
        <xdr:cNvPicPr preferRelativeResize="1">
          <a:picLocks noChangeAspect="1"/>
        </xdr:cNvPicPr>
      </xdr:nvPicPr>
      <xdr:blipFill>
        <a:blip r:embed="rId22"/>
        <a:stretch>
          <a:fillRect/>
        </a:stretch>
      </xdr:blipFill>
      <xdr:spPr>
        <a:xfrm>
          <a:off x="3476625" y="4943475"/>
          <a:ext cx="2152650" cy="247650"/>
        </a:xfrm>
        <a:prstGeom prst="rect">
          <a:avLst/>
        </a:prstGeom>
        <a:noFill/>
        <a:ln w="9525" cmpd="sng">
          <a:noFill/>
        </a:ln>
      </xdr:spPr>
    </xdr:pic>
    <xdr:clientData fLocksWithSheet="0"/>
  </xdr:twoCellAnchor>
  <xdr:twoCellAnchor editAs="oneCell">
    <xdr:from>
      <xdr:col>1</xdr:col>
      <xdr:colOff>142875</xdr:colOff>
      <xdr:row>10</xdr:row>
      <xdr:rowOff>133350</xdr:rowOff>
    </xdr:from>
    <xdr:to>
      <xdr:col>1</xdr:col>
      <xdr:colOff>2295525</xdr:colOff>
      <xdr:row>10</xdr:row>
      <xdr:rowOff>381000</xdr:rowOff>
    </xdr:to>
    <xdr:pic>
      <xdr:nvPicPr>
        <xdr:cNvPr id="23" name="cmbWHS2"/>
        <xdr:cNvPicPr preferRelativeResize="1">
          <a:picLocks noChangeAspect="1"/>
        </xdr:cNvPicPr>
      </xdr:nvPicPr>
      <xdr:blipFill>
        <a:blip r:embed="rId23"/>
        <a:stretch>
          <a:fillRect/>
        </a:stretch>
      </xdr:blipFill>
      <xdr:spPr>
        <a:xfrm>
          <a:off x="3476625" y="5410200"/>
          <a:ext cx="2152650" cy="247650"/>
        </a:xfrm>
        <a:prstGeom prst="rect">
          <a:avLst/>
        </a:prstGeom>
        <a:noFill/>
        <a:ln w="9525" cmpd="sng">
          <a:noFill/>
        </a:ln>
      </xdr:spPr>
    </xdr:pic>
    <xdr:clientData fLocksWithSheet="0"/>
  </xdr:twoCellAnchor>
  <xdr:twoCellAnchor editAs="oneCell">
    <xdr:from>
      <xdr:col>1</xdr:col>
      <xdr:colOff>142875</xdr:colOff>
      <xdr:row>11</xdr:row>
      <xdr:rowOff>123825</xdr:rowOff>
    </xdr:from>
    <xdr:to>
      <xdr:col>1</xdr:col>
      <xdr:colOff>2295525</xdr:colOff>
      <xdr:row>11</xdr:row>
      <xdr:rowOff>371475</xdr:rowOff>
    </xdr:to>
    <xdr:pic>
      <xdr:nvPicPr>
        <xdr:cNvPr id="24" name="cmbWHS3"/>
        <xdr:cNvPicPr preferRelativeResize="1">
          <a:picLocks noChangeAspect="1"/>
        </xdr:cNvPicPr>
      </xdr:nvPicPr>
      <xdr:blipFill>
        <a:blip r:embed="rId24"/>
        <a:stretch>
          <a:fillRect/>
        </a:stretch>
      </xdr:blipFill>
      <xdr:spPr>
        <a:xfrm>
          <a:off x="3476625" y="5895975"/>
          <a:ext cx="2152650" cy="247650"/>
        </a:xfrm>
        <a:prstGeom prst="rect">
          <a:avLst/>
        </a:prstGeom>
        <a:noFill/>
        <a:ln w="9525" cmpd="sng">
          <a:noFill/>
        </a:ln>
      </xdr:spPr>
    </xdr:pic>
    <xdr:clientData fLocksWithSheet="0"/>
  </xdr:twoCellAnchor>
  <xdr:twoCellAnchor editAs="oneCell">
    <xdr:from>
      <xdr:col>1</xdr:col>
      <xdr:colOff>133350</xdr:colOff>
      <xdr:row>13</xdr:row>
      <xdr:rowOff>133350</xdr:rowOff>
    </xdr:from>
    <xdr:to>
      <xdr:col>1</xdr:col>
      <xdr:colOff>2286000</xdr:colOff>
      <xdr:row>13</xdr:row>
      <xdr:rowOff>381000</xdr:rowOff>
    </xdr:to>
    <xdr:pic>
      <xdr:nvPicPr>
        <xdr:cNvPr id="25" name="cmbCoast1"/>
        <xdr:cNvPicPr preferRelativeResize="1">
          <a:picLocks noChangeAspect="1"/>
        </xdr:cNvPicPr>
      </xdr:nvPicPr>
      <xdr:blipFill>
        <a:blip r:embed="rId25"/>
        <a:stretch>
          <a:fillRect/>
        </a:stretch>
      </xdr:blipFill>
      <xdr:spPr>
        <a:xfrm>
          <a:off x="3467100" y="6896100"/>
          <a:ext cx="2152650" cy="247650"/>
        </a:xfrm>
        <a:prstGeom prst="rect">
          <a:avLst/>
        </a:prstGeom>
        <a:noFill/>
        <a:ln w="9525" cmpd="sng">
          <a:noFill/>
        </a:ln>
      </xdr:spPr>
    </xdr:pic>
    <xdr:clientData fLocksWithSheet="0"/>
  </xdr:twoCellAnchor>
  <xdr:twoCellAnchor editAs="oneCell">
    <xdr:from>
      <xdr:col>1</xdr:col>
      <xdr:colOff>123825</xdr:colOff>
      <xdr:row>14</xdr:row>
      <xdr:rowOff>76200</xdr:rowOff>
    </xdr:from>
    <xdr:to>
      <xdr:col>1</xdr:col>
      <xdr:colOff>2276475</xdr:colOff>
      <xdr:row>14</xdr:row>
      <xdr:rowOff>323850</xdr:rowOff>
    </xdr:to>
    <xdr:pic>
      <xdr:nvPicPr>
        <xdr:cNvPr id="26" name="cmbCoast2"/>
        <xdr:cNvPicPr preferRelativeResize="1">
          <a:picLocks noChangeAspect="1"/>
        </xdr:cNvPicPr>
      </xdr:nvPicPr>
      <xdr:blipFill>
        <a:blip r:embed="rId26"/>
        <a:stretch>
          <a:fillRect/>
        </a:stretch>
      </xdr:blipFill>
      <xdr:spPr>
        <a:xfrm>
          <a:off x="3457575" y="7324725"/>
          <a:ext cx="2152650" cy="247650"/>
        </a:xfrm>
        <a:prstGeom prst="rect">
          <a:avLst/>
        </a:prstGeom>
        <a:noFill/>
        <a:ln w="9525" cmpd="sng">
          <a:noFill/>
        </a:ln>
      </xdr:spPr>
    </xdr:pic>
    <xdr:clientData fLocksWithSheet="0"/>
  </xdr:twoCellAnchor>
  <xdr:twoCellAnchor editAs="oneCell">
    <xdr:from>
      <xdr:col>3</xdr:col>
      <xdr:colOff>152400</xdr:colOff>
      <xdr:row>13</xdr:row>
      <xdr:rowOff>123825</xdr:rowOff>
    </xdr:from>
    <xdr:to>
      <xdr:col>3</xdr:col>
      <xdr:colOff>2305050</xdr:colOff>
      <xdr:row>13</xdr:row>
      <xdr:rowOff>371475</xdr:rowOff>
    </xdr:to>
    <xdr:pic>
      <xdr:nvPicPr>
        <xdr:cNvPr id="27" name="cmbSW1"/>
        <xdr:cNvPicPr preferRelativeResize="1">
          <a:picLocks noChangeAspect="1"/>
        </xdr:cNvPicPr>
      </xdr:nvPicPr>
      <xdr:blipFill>
        <a:blip r:embed="rId27"/>
        <a:stretch>
          <a:fillRect/>
        </a:stretch>
      </xdr:blipFill>
      <xdr:spPr>
        <a:xfrm>
          <a:off x="8248650" y="6886575"/>
          <a:ext cx="2152650" cy="247650"/>
        </a:xfrm>
        <a:prstGeom prst="rect">
          <a:avLst/>
        </a:prstGeom>
        <a:noFill/>
        <a:ln w="9525" cmpd="sng">
          <a:noFill/>
        </a:ln>
      </xdr:spPr>
    </xdr:pic>
    <xdr:clientData fLocksWithSheet="0"/>
  </xdr:twoCellAnchor>
  <xdr:twoCellAnchor editAs="oneCell">
    <xdr:from>
      <xdr:col>3</xdr:col>
      <xdr:colOff>142875</xdr:colOff>
      <xdr:row>14</xdr:row>
      <xdr:rowOff>66675</xdr:rowOff>
    </xdr:from>
    <xdr:to>
      <xdr:col>3</xdr:col>
      <xdr:colOff>2295525</xdr:colOff>
      <xdr:row>14</xdr:row>
      <xdr:rowOff>314325</xdr:rowOff>
    </xdr:to>
    <xdr:pic>
      <xdr:nvPicPr>
        <xdr:cNvPr id="28" name="cmbSW2"/>
        <xdr:cNvPicPr preferRelativeResize="1">
          <a:picLocks noChangeAspect="1"/>
        </xdr:cNvPicPr>
      </xdr:nvPicPr>
      <xdr:blipFill>
        <a:blip r:embed="rId28"/>
        <a:stretch>
          <a:fillRect/>
        </a:stretch>
      </xdr:blipFill>
      <xdr:spPr>
        <a:xfrm>
          <a:off x="8239125" y="7315200"/>
          <a:ext cx="2152650" cy="247650"/>
        </a:xfrm>
        <a:prstGeom prst="rect">
          <a:avLst/>
        </a:prstGeom>
        <a:noFill/>
        <a:ln w="9525" cmpd="sng">
          <a:noFill/>
        </a:ln>
      </xdr:spPr>
    </xdr:pic>
    <xdr:clientData fLocksWithSheet="0"/>
  </xdr:twoCellAnchor>
  <xdr:twoCellAnchor editAs="oneCell">
    <xdr:from>
      <xdr:col>4</xdr:col>
      <xdr:colOff>133350</xdr:colOff>
      <xdr:row>13</xdr:row>
      <xdr:rowOff>123825</xdr:rowOff>
    </xdr:from>
    <xdr:to>
      <xdr:col>4</xdr:col>
      <xdr:colOff>2286000</xdr:colOff>
      <xdr:row>13</xdr:row>
      <xdr:rowOff>371475</xdr:rowOff>
    </xdr:to>
    <xdr:pic>
      <xdr:nvPicPr>
        <xdr:cNvPr id="29" name="cmbWet1"/>
        <xdr:cNvPicPr preferRelativeResize="1">
          <a:picLocks noChangeAspect="1"/>
        </xdr:cNvPicPr>
      </xdr:nvPicPr>
      <xdr:blipFill>
        <a:blip r:embed="rId29"/>
        <a:stretch>
          <a:fillRect/>
        </a:stretch>
      </xdr:blipFill>
      <xdr:spPr>
        <a:xfrm>
          <a:off x="10610850" y="6886575"/>
          <a:ext cx="2152650" cy="247650"/>
        </a:xfrm>
        <a:prstGeom prst="rect">
          <a:avLst/>
        </a:prstGeom>
        <a:noFill/>
        <a:ln w="9525" cmpd="sng">
          <a:noFill/>
        </a:ln>
      </xdr:spPr>
    </xdr:pic>
    <xdr:clientData fLocksWithSheet="0"/>
  </xdr:twoCellAnchor>
  <xdr:twoCellAnchor editAs="oneCell">
    <xdr:from>
      <xdr:col>4</xdr:col>
      <xdr:colOff>123825</xdr:colOff>
      <xdr:row>14</xdr:row>
      <xdr:rowOff>66675</xdr:rowOff>
    </xdr:from>
    <xdr:to>
      <xdr:col>4</xdr:col>
      <xdr:colOff>2276475</xdr:colOff>
      <xdr:row>14</xdr:row>
      <xdr:rowOff>314325</xdr:rowOff>
    </xdr:to>
    <xdr:pic>
      <xdr:nvPicPr>
        <xdr:cNvPr id="30" name="cmbWet2"/>
        <xdr:cNvPicPr preferRelativeResize="1">
          <a:picLocks noChangeAspect="1"/>
        </xdr:cNvPicPr>
      </xdr:nvPicPr>
      <xdr:blipFill>
        <a:blip r:embed="rId30"/>
        <a:stretch>
          <a:fillRect/>
        </a:stretch>
      </xdr:blipFill>
      <xdr:spPr>
        <a:xfrm>
          <a:off x="10601325" y="7315200"/>
          <a:ext cx="2152650" cy="247650"/>
        </a:xfrm>
        <a:prstGeom prst="rect">
          <a:avLst/>
        </a:prstGeom>
        <a:noFill/>
        <a:ln w="9525" cmpd="sng">
          <a:noFill/>
        </a:ln>
      </xdr:spPr>
    </xdr:pic>
    <xdr:clientData fLocksWithSheet="0"/>
  </xdr:twoCellAnchor>
  <xdr:twoCellAnchor editAs="oneCell">
    <xdr:from>
      <xdr:col>5</xdr:col>
      <xdr:colOff>133350</xdr:colOff>
      <xdr:row>13</xdr:row>
      <xdr:rowOff>114300</xdr:rowOff>
    </xdr:from>
    <xdr:to>
      <xdr:col>5</xdr:col>
      <xdr:colOff>2286000</xdr:colOff>
      <xdr:row>13</xdr:row>
      <xdr:rowOff>361950</xdr:rowOff>
    </xdr:to>
    <xdr:pic>
      <xdr:nvPicPr>
        <xdr:cNvPr id="31" name="cmbEnd1"/>
        <xdr:cNvPicPr preferRelativeResize="1">
          <a:picLocks noChangeAspect="1"/>
        </xdr:cNvPicPr>
      </xdr:nvPicPr>
      <xdr:blipFill>
        <a:blip r:embed="rId31"/>
        <a:stretch>
          <a:fillRect/>
        </a:stretch>
      </xdr:blipFill>
      <xdr:spPr>
        <a:xfrm>
          <a:off x="12992100" y="6877050"/>
          <a:ext cx="2152650" cy="247650"/>
        </a:xfrm>
        <a:prstGeom prst="rect">
          <a:avLst/>
        </a:prstGeom>
        <a:noFill/>
        <a:ln w="9525" cmpd="sng">
          <a:noFill/>
        </a:ln>
      </xdr:spPr>
    </xdr:pic>
    <xdr:clientData fLocksWithSheet="0"/>
  </xdr:twoCellAnchor>
  <xdr:twoCellAnchor editAs="oneCell">
    <xdr:from>
      <xdr:col>5</xdr:col>
      <xdr:colOff>123825</xdr:colOff>
      <xdr:row>14</xdr:row>
      <xdr:rowOff>57150</xdr:rowOff>
    </xdr:from>
    <xdr:to>
      <xdr:col>5</xdr:col>
      <xdr:colOff>2276475</xdr:colOff>
      <xdr:row>14</xdr:row>
      <xdr:rowOff>304800</xdr:rowOff>
    </xdr:to>
    <xdr:pic>
      <xdr:nvPicPr>
        <xdr:cNvPr id="32" name="cmbEnd2"/>
        <xdr:cNvPicPr preferRelativeResize="1">
          <a:picLocks noChangeAspect="1"/>
        </xdr:cNvPicPr>
      </xdr:nvPicPr>
      <xdr:blipFill>
        <a:blip r:embed="rId32"/>
        <a:stretch>
          <a:fillRect/>
        </a:stretch>
      </xdr:blipFill>
      <xdr:spPr>
        <a:xfrm>
          <a:off x="12982575" y="7305675"/>
          <a:ext cx="2152650" cy="247650"/>
        </a:xfrm>
        <a:prstGeom prst="rect">
          <a:avLst/>
        </a:prstGeom>
        <a:noFill/>
        <a:ln w="9525" cmpd="sng">
          <a:noFill/>
        </a:ln>
      </xdr:spPr>
    </xdr:pic>
    <xdr:clientData fLocksWithSheet="0"/>
  </xdr:twoCellAnchor>
  <xdr:twoCellAnchor editAs="oneCell">
    <xdr:from>
      <xdr:col>6</xdr:col>
      <xdr:colOff>123825</xdr:colOff>
      <xdr:row>13</xdr:row>
      <xdr:rowOff>104775</xdr:rowOff>
    </xdr:from>
    <xdr:to>
      <xdr:col>6</xdr:col>
      <xdr:colOff>2276475</xdr:colOff>
      <xdr:row>13</xdr:row>
      <xdr:rowOff>352425</xdr:rowOff>
    </xdr:to>
    <xdr:pic>
      <xdr:nvPicPr>
        <xdr:cNvPr id="33" name="cmbSens1"/>
        <xdr:cNvPicPr preferRelativeResize="1">
          <a:picLocks noChangeAspect="1"/>
        </xdr:cNvPicPr>
      </xdr:nvPicPr>
      <xdr:blipFill>
        <a:blip r:embed="rId33"/>
        <a:stretch>
          <a:fillRect/>
        </a:stretch>
      </xdr:blipFill>
      <xdr:spPr>
        <a:xfrm>
          <a:off x="15363825" y="6867525"/>
          <a:ext cx="2152650" cy="247650"/>
        </a:xfrm>
        <a:prstGeom prst="rect">
          <a:avLst/>
        </a:prstGeom>
        <a:noFill/>
        <a:ln w="9525" cmpd="sng">
          <a:noFill/>
        </a:ln>
      </xdr:spPr>
    </xdr:pic>
    <xdr:clientData fLocksWithSheet="0"/>
  </xdr:twoCellAnchor>
  <xdr:twoCellAnchor editAs="oneCell">
    <xdr:from>
      <xdr:col>6</xdr:col>
      <xdr:colOff>114300</xdr:colOff>
      <xdr:row>14</xdr:row>
      <xdr:rowOff>47625</xdr:rowOff>
    </xdr:from>
    <xdr:to>
      <xdr:col>6</xdr:col>
      <xdr:colOff>2266950</xdr:colOff>
      <xdr:row>14</xdr:row>
      <xdr:rowOff>295275</xdr:rowOff>
    </xdr:to>
    <xdr:pic>
      <xdr:nvPicPr>
        <xdr:cNvPr id="34" name="cmbSens2"/>
        <xdr:cNvPicPr preferRelativeResize="1">
          <a:picLocks noChangeAspect="1"/>
        </xdr:cNvPicPr>
      </xdr:nvPicPr>
      <xdr:blipFill>
        <a:blip r:embed="rId34"/>
        <a:stretch>
          <a:fillRect/>
        </a:stretch>
      </xdr:blipFill>
      <xdr:spPr>
        <a:xfrm>
          <a:off x="15354300" y="7296150"/>
          <a:ext cx="2152650" cy="247650"/>
        </a:xfrm>
        <a:prstGeom prst="rect">
          <a:avLst/>
        </a:prstGeom>
        <a:noFill/>
        <a:ln w="9525" cmpd="sng">
          <a:noFill/>
        </a:ln>
      </xdr:spPr>
    </xdr:pic>
    <xdr:clientData fLocksWithSheet="0"/>
  </xdr:twoCellAnchor>
  <xdr:twoCellAnchor editAs="oneCell">
    <xdr:from>
      <xdr:col>7</xdr:col>
      <xdr:colOff>142875</xdr:colOff>
      <xdr:row>13</xdr:row>
      <xdr:rowOff>114300</xdr:rowOff>
    </xdr:from>
    <xdr:to>
      <xdr:col>7</xdr:col>
      <xdr:colOff>2295525</xdr:colOff>
      <xdr:row>13</xdr:row>
      <xdr:rowOff>361950</xdr:rowOff>
    </xdr:to>
    <xdr:pic>
      <xdr:nvPicPr>
        <xdr:cNvPr id="35" name="cmbBio1"/>
        <xdr:cNvPicPr preferRelativeResize="1">
          <a:picLocks noChangeAspect="1"/>
        </xdr:cNvPicPr>
      </xdr:nvPicPr>
      <xdr:blipFill>
        <a:blip r:embed="rId35"/>
        <a:stretch>
          <a:fillRect/>
        </a:stretch>
      </xdr:blipFill>
      <xdr:spPr>
        <a:xfrm>
          <a:off x="17764125" y="6877050"/>
          <a:ext cx="2152650" cy="247650"/>
        </a:xfrm>
        <a:prstGeom prst="rect">
          <a:avLst/>
        </a:prstGeom>
        <a:noFill/>
        <a:ln w="9525" cmpd="sng">
          <a:noFill/>
        </a:ln>
      </xdr:spPr>
    </xdr:pic>
    <xdr:clientData fLocksWithSheet="0"/>
  </xdr:twoCellAnchor>
  <xdr:twoCellAnchor editAs="oneCell">
    <xdr:from>
      <xdr:col>7</xdr:col>
      <xdr:colOff>123825</xdr:colOff>
      <xdr:row>14</xdr:row>
      <xdr:rowOff>66675</xdr:rowOff>
    </xdr:from>
    <xdr:to>
      <xdr:col>7</xdr:col>
      <xdr:colOff>2276475</xdr:colOff>
      <xdr:row>14</xdr:row>
      <xdr:rowOff>314325</xdr:rowOff>
    </xdr:to>
    <xdr:pic>
      <xdr:nvPicPr>
        <xdr:cNvPr id="36" name="cmbBio2"/>
        <xdr:cNvPicPr preferRelativeResize="1">
          <a:picLocks noChangeAspect="1"/>
        </xdr:cNvPicPr>
      </xdr:nvPicPr>
      <xdr:blipFill>
        <a:blip r:embed="rId36"/>
        <a:stretch>
          <a:fillRect/>
        </a:stretch>
      </xdr:blipFill>
      <xdr:spPr>
        <a:xfrm>
          <a:off x="17745075" y="7315200"/>
          <a:ext cx="2152650" cy="247650"/>
        </a:xfrm>
        <a:prstGeom prst="rect">
          <a:avLst/>
        </a:prstGeom>
        <a:noFill/>
        <a:ln w="9525" cmpd="sng">
          <a:noFill/>
        </a:ln>
      </xdr:spPr>
    </xdr:pic>
    <xdr:clientData fLocksWithSheet="0"/>
  </xdr:twoCellAnchor>
  <xdr:twoCellAnchor editAs="oneCell">
    <xdr:from>
      <xdr:col>8</xdr:col>
      <xdr:colOff>142875</xdr:colOff>
      <xdr:row>13</xdr:row>
      <xdr:rowOff>123825</xdr:rowOff>
    </xdr:from>
    <xdr:to>
      <xdr:col>8</xdr:col>
      <xdr:colOff>2295525</xdr:colOff>
      <xdr:row>13</xdr:row>
      <xdr:rowOff>371475</xdr:rowOff>
    </xdr:to>
    <xdr:pic>
      <xdr:nvPicPr>
        <xdr:cNvPr id="37" name="cmbHist1"/>
        <xdr:cNvPicPr preferRelativeResize="1">
          <a:picLocks noChangeAspect="1"/>
        </xdr:cNvPicPr>
      </xdr:nvPicPr>
      <xdr:blipFill>
        <a:blip r:embed="rId37"/>
        <a:stretch>
          <a:fillRect/>
        </a:stretch>
      </xdr:blipFill>
      <xdr:spPr>
        <a:xfrm>
          <a:off x="20145375" y="6886575"/>
          <a:ext cx="2152650" cy="247650"/>
        </a:xfrm>
        <a:prstGeom prst="rect">
          <a:avLst/>
        </a:prstGeom>
        <a:noFill/>
        <a:ln w="9525" cmpd="sng">
          <a:noFill/>
        </a:ln>
      </xdr:spPr>
    </xdr:pic>
    <xdr:clientData fLocksWithSheet="0"/>
  </xdr:twoCellAnchor>
  <xdr:twoCellAnchor editAs="oneCell">
    <xdr:from>
      <xdr:col>8</xdr:col>
      <xdr:colOff>123825</xdr:colOff>
      <xdr:row>14</xdr:row>
      <xdr:rowOff>66675</xdr:rowOff>
    </xdr:from>
    <xdr:to>
      <xdr:col>8</xdr:col>
      <xdr:colOff>2276475</xdr:colOff>
      <xdr:row>14</xdr:row>
      <xdr:rowOff>314325</xdr:rowOff>
    </xdr:to>
    <xdr:pic>
      <xdr:nvPicPr>
        <xdr:cNvPr id="38" name="cmbHist2"/>
        <xdr:cNvPicPr preferRelativeResize="1">
          <a:picLocks noChangeAspect="1"/>
        </xdr:cNvPicPr>
      </xdr:nvPicPr>
      <xdr:blipFill>
        <a:blip r:embed="rId38"/>
        <a:stretch>
          <a:fillRect/>
        </a:stretch>
      </xdr:blipFill>
      <xdr:spPr>
        <a:xfrm>
          <a:off x="20126325" y="7315200"/>
          <a:ext cx="2152650" cy="247650"/>
        </a:xfrm>
        <a:prstGeom prst="rect">
          <a:avLst/>
        </a:prstGeom>
        <a:noFill/>
        <a:ln w="9525" cmpd="sng">
          <a:noFill/>
        </a:ln>
      </xdr:spPr>
    </xdr:pic>
    <xdr:clientData fLocksWithSheet="0"/>
  </xdr:twoCellAnchor>
  <xdr:twoCellAnchor editAs="oneCell">
    <xdr:from>
      <xdr:col>9</xdr:col>
      <xdr:colOff>114300</xdr:colOff>
      <xdr:row>13</xdr:row>
      <xdr:rowOff>114300</xdr:rowOff>
    </xdr:from>
    <xdr:to>
      <xdr:col>9</xdr:col>
      <xdr:colOff>2266950</xdr:colOff>
      <xdr:row>13</xdr:row>
      <xdr:rowOff>361950</xdr:rowOff>
    </xdr:to>
    <xdr:pic>
      <xdr:nvPicPr>
        <xdr:cNvPr id="39" name="cmbAg1"/>
        <xdr:cNvPicPr preferRelativeResize="1">
          <a:picLocks noChangeAspect="1"/>
        </xdr:cNvPicPr>
      </xdr:nvPicPr>
      <xdr:blipFill>
        <a:blip r:embed="rId39"/>
        <a:stretch>
          <a:fillRect/>
        </a:stretch>
      </xdr:blipFill>
      <xdr:spPr>
        <a:xfrm>
          <a:off x="22498050" y="6877050"/>
          <a:ext cx="2152650" cy="247650"/>
        </a:xfrm>
        <a:prstGeom prst="rect">
          <a:avLst/>
        </a:prstGeom>
        <a:noFill/>
        <a:ln w="9525" cmpd="sng">
          <a:noFill/>
        </a:ln>
      </xdr:spPr>
    </xdr:pic>
    <xdr:clientData fLocksWithSheet="0"/>
  </xdr:twoCellAnchor>
  <xdr:twoCellAnchor editAs="oneCell">
    <xdr:from>
      <xdr:col>9</xdr:col>
      <xdr:colOff>104775</xdr:colOff>
      <xdr:row>14</xdr:row>
      <xdr:rowOff>66675</xdr:rowOff>
    </xdr:from>
    <xdr:to>
      <xdr:col>9</xdr:col>
      <xdr:colOff>2257425</xdr:colOff>
      <xdr:row>14</xdr:row>
      <xdr:rowOff>314325</xdr:rowOff>
    </xdr:to>
    <xdr:pic>
      <xdr:nvPicPr>
        <xdr:cNvPr id="40" name="cmbAg2"/>
        <xdr:cNvPicPr preferRelativeResize="1">
          <a:picLocks noChangeAspect="1"/>
        </xdr:cNvPicPr>
      </xdr:nvPicPr>
      <xdr:blipFill>
        <a:blip r:embed="rId40"/>
        <a:stretch>
          <a:fillRect/>
        </a:stretch>
      </xdr:blipFill>
      <xdr:spPr>
        <a:xfrm>
          <a:off x="22488525" y="7315200"/>
          <a:ext cx="2152650" cy="247650"/>
        </a:xfrm>
        <a:prstGeom prst="rect">
          <a:avLst/>
        </a:prstGeom>
        <a:noFill/>
        <a:ln w="9525" cmpd="sng">
          <a:noFill/>
        </a:ln>
      </xdr:spPr>
    </xdr:pic>
    <xdr:clientData fLocksWithSheet="0"/>
  </xdr:twoCellAnchor>
  <xdr:twoCellAnchor editAs="oneCell">
    <xdr:from>
      <xdr:col>1</xdr:col>
      <xdr:colOff>123825</xdr:colOff>
      <xdr:row>16</xdr:row>
      <xdr:rowOff>85725</xdr:rowOff>
    </xdr:from>
    <xdr:to>
      <xdr:col>1</xdr:col>
      <xdr:colOff>2276475</xdr:colOff>
      <xdr:row>16</xdr:row>
      <xdr:rowOff>333375</xdr:rowOff>
    </xdr:to>
    <xdr:pic>
      <xdr:nvPicPr>
        <xdr:cNvPr id="41" name="cmbRR"/>
        <xdr:cNvPicPr preferRelativeResize="1">
          <a:picLocks noChangeAspect="1"/>
        </xdr:cNvPicPr>
      </xdr:nvPicPr>
      <xdr:blipFill>
        <a:blip r:embed="rId41"/>
        <a:stretch>
          <a:fillRect/>
        </a:stretch>
      </xdr:blipFill>
      <xdr:spPr>
        <a:xfrm>
          <a:off x="3457575" y="8210550"/>
          <a:ext cx="2152650" cy="247650"/>
        </a:xfrm>
        <a:prstGeom prst="rect">
          <a:avLst/>
        </a:prstGeom>
        <a:noFill/>
        <a:ln w="9525" cmpd="sng">
          <a:noFill/>
        </a:ln>
      </xdr:spPr>
    </xdr:pic>
    <xdr:clientData fLocksWithSheet="0"/>
  </xdr:twoCellAnchor>
  <xdr:twoCellAnchor editAs="oneCell">
    <xdr:from>
      <xdr:col>1</xdr:col>
      <xdr:colOff>95250</xdr:colOff>
      <xdr:row>18</xdr:row>
      <xdr:rowOff>57150</xdr:rowOff>
    </xdr:from>
    <xdr:to>
      <xdr:col>1</xdr:col>
      <xdr:colOff>2247900</xdr:colOff>
      <xdr:row>18</xdr:row>
      <xdr:rowOff>304800</xdr:rowOff>
    </xdr:to>
    <xdr:pic>
      <xdr:nvPicPr>
        <xdr:cNvPr id="42" name="cmbTime"/>
        <xdr:cNvPicPr preferRelativeResize="1">
          <a:picLocks noChangeAspect="1"/>
        </xdr:cNvPicPr>
      </xdr:nvPicPr>
      <xdr:blipFill>
        <a:blip r:embed="rId42"/>
        <a:stretch>
          <a:fillRect/>
        </a:stretch>
      </xdr:blipFill>
      <xdr:spPr>
        <a:xfrm>
          <a:off x="3429000" y="9058275"/>
          <a:ext cx="2152650" cy="247650"/>
        </a:xfrm>
        <a:prstGeom prst="rect">
          <a:avLst/>
        </a:prstGeom>
        <a:noFill/>
        <a:ln w="9525" cmpd="sng">
          <a:noFill/>
        </a:ln>
      </xdr:spPr>
    </xdr:pic>
    <xdr:clientData fLocksWithSheet="0"/>
  </xdr:twoCellAnchor>
  <xdr:twoCellAnchor editAs="oneCell">
    <xdr:from>
      <xdr:col>2</xdr:col>
      <xdr:colOff>19050</xdr:colOff>
      <xdr:row>22</xdr:row>
      <xdr:rowOff>38100</xdr:rowOff>
    </xdr:from>
    <xdr:to>
      <xdr:col>2</xdr:col>
      <xdr:colOff>1752600</xdr:colOff>
      <xdr:row>22</xdr:row>
      <xdr:rowOff>266700</xdr:rowOff>
    </xdr:to>
    <xdr:pic>
      <xdr:nvPicPr>
        <xdr:cNvPr id="43" name="cmbUncP"/>
        <xdr:cNvPicPr preferRelativeResize="1">
          <a:picLocks noChangeAspect="1"/>
        </xdr:cNvPicPr>
      </xdr:nvPicPr>
      <xdr:blipFill>
        <a:blip r:embed="rId43"/>
        <a:stretch>
          <a:fillRect/>
        </a:stretch>
      </xdr:blipFill>
      <xdr:spPr>
        <a:xfrm>
          <a:off x="5734050" y="10887075"/>
          <a:ext cx="1733550" cy="228600"/>
        </a:xfrm>
        <a:prstGeom prst="rect">
          <a:avLst/>
        </a:prstGeom>
        <a:noFill/>
        <a:ln w="9525" cmpd="sng">
          <a:noFill/>
        </a:ln>
      </xdr:spPr>
    </xdr:pic>
    <xdr:clientData fLocksWithSheet="0"/>
  </xdr:twoCellAnchor>
  <xdr:twoCellAnchor editAs="oneCell">
    <xdr:from>
      <xdr:col>2</xdr:col>
      <xdr:colOff>19050</xdr:colOff>
      <xdr:row>23</xdr:row>
      <xdr:rowOff>38100</xdr:rowOff>
    </xdr:from>
    <xdr:to>
      <xdr:col>2</xdr:col>
      <xdr:colOff>1704975</xdr:colOff>
      <xdr:row>23</xdr:row>
      <xdr:rowOff>257175</xdr:rowOff>
    </xdr:to>
    <xdr:pic>
      <xdr:nvPicPr>
        <xdr:cNvPr id="44" name="cmbUncM"/>
        <xdr:cNvPicPr preferRelativeResize="1">
          <a:picLocks noChangeAspect="1"/>
        </xdr:cNvPicPr>
      </xdr:nvPicPr>
      <xdr:blipFill>
        <a:blip r:embed="rId44"/>
        <a:stretch>
          <a:fillRect/>
        </a:stretch>
      </xdr:blipFill>
      <xdr:spPr>
        <a:xfrm>
          <a:off x="5734050" y="11229975"/>
          <a:ext cx="1685925" cy="219075"/>
        </a:xfrm>
        <a:prstGeom prst="rect">
          <a:avLst/>
        </a:prstGeom>
        <a:noFill/>
        <a:ln w="9525" cmpd="sng">
          <a:noFill/>
        </a:ln>
      </xdr:spPr>
    </xdr:pic>
    <xdr:clientData fLocksWithSheet="0"/>
  </xdr:twoCellAnchor>
  <xdr:twoCellAnchor editAs="oneCell">
    <xdr:from>
      <xdr:col>2</xdr:col>
      <xdr:colOff>180975</xdr:colOff>
      <xdr:row>13</xdr:row>
      <xdr:rowOff>142875</xdr:rowOff>
    </xdr:from>
    <xdr:to>
      <xdr:col>2</xdr:col>
      <xdr:colOff>2333625</xdr:colOff>
      <xdr:row>13</xdr:row>
      <xdr:rowOff>390525</xdr:rowOff>
    </xdr:to>
    <xdr:pic>
      <xdr:nvPicPr>
        <xdr:cNvPr id="45" name="cmbGW1"/>
        <xdr:cNvPicPr preferRelativeResize="1">
          <a:picLocks noChangeAspect="1"/>
        </xdr:cNvPicPr>
      </xdr:nvPicPr>
      <xdr:blipFill>
        <a:blip r:embed="rId45"/>
        <a:stretch>
          <a:fillRect/>
        </a:stretch>
      </xdr:blipFill>
      <xdr:spPr>
        <a:xfrm>
          <a:off x="5895975" y="6905625"/>
          <a:ext cx="2152650" cy="247650"/>
        </a:xfrm>
        <a:prstGeom prst="rect">
          <a:avLst/>
        </a:prstGeom>
        <a:noFill/>
        <a:ln w="9525" cmpd="sng">
          <a:noFill/>
        </a:ln>
      </xdr:spPr>
    </xdr:pic>
    <xdr:clientData fLocksWithSheet="0"/>
  </xdr:twoCellAnchor>
  <xdr:twoCellAnchor editAs="oneCell">
    <xdr:from>
      <xdr:col>2</xdr:col>
      <xdr:colOff>180975</xdr:colOff>
      <xdr:row>14</xdr:row>
      <xdr:rowOff>85725</xdr:rowOff>
    </xdr:from>
    <xdr:to>
      <xdr:col>2</xdr:col>
      <xdr:colOff>2333625</xdr:colOff>
      <xdr:row>14</xdr:row>
      <xdr:rowOff>333375</xdr:rowOff>
    </xdr:to>
    <xdr:pic>
      <xdr:nvPicPr>
        <xdr:cNvPr id="46" name="cmbGW2"/>
        <xdr:cNvPicPr preferRelativeResize="1">
          <a:picLocks noChangeAspect="1"/>
        </xdr:cNvPicPr>
      </xdr:nvPicPr>
      <xdr:blipFill>
        <a:blip r:embed="rId45"/>
        <a:stretch>
          <a:fillRect/>
        </a:stretch>
      </xdr:blipFill>
      <xdr:spPr>
        <a:xfrm>
          <a:off x="5895975" y="7334250"/>
          <a:ext cx="2152650" cy="247650"/>
        </a:xfrm>
        <a:prstGeom prst="rect">
          <a:avLst/>
        </a:prstGeom>
        <a:noFill/>
        <a:ln w="9525" cmpd="sng">
          <a:noFill/>
        </a:ln>
      </xdr:spPr>
    </xdr:pic>
    <xdr:clientData fLocksWithSheet="0"/>
  </xdr:twoCellAnchor>
  <xdr:twoCellAnchor>
    <xdr:from>
      <xdr:col>1</xdr:col>
      <xdr:colOff>123825</xdr:colOff>
      <xdr:row>1</xdr:row>
      <xdr:rowOff>0</xdr:rowOff>
    </xdr:from>
    <xdr:to>
      <xdr:col>2</xdr:col>
      <xdr:colOff>2047875</xdr:colOff>
      <xdr:row>1</xdr:row>
      <xdr:rowOff>923925</xdr:rowOff>
    </xdr:to>
    <xdr:grpSp>
      <xdr:nvGrpSpPr>
        <xdr:cNvPr id="47" name="Group 226"/>
        <xdr:cNvGrpSpPr>
          <a:grpSpLocks/>
        </xdr:cNvGrpSpPr>
      </xdr:nvGrpSpPr>
      <xdr:grpSpPr>
        <a:xfrm>
          <a:off x="3457575" y="238125"/>
          <a:ext cx="4305300" cy="923925"/>
          <a:chOff x="363" y="25"/>
          <a:chExt cx="452" cy="97"/>
        </a:xfrm>
        <a:solidFill>
          <a:srgbClr val="FFFFFF"/>
        </a:solidFill>
      </xdr:grpSpPr>
      <xdr:sp>
        <xdr:nvSpPr>
          <xdr:cNvPr id="48" name="Rectangle 224"/>
          <xdr:cNvSpPr>
            <a:spLocks/>
          </xdr:cNvSpPr>
        </xdr:nvSpPr>
        <xdr:spPr>
          <a:xfrm>
            <a:off x="363" y="25"/>
            <a:ext cx="452" cy="97"/>
          </a:xfrm>
          <a:prstGeom prst="rect">
            <a:avLst/>
          </a:prstGeom>
          <a:solidFill>
            <a:srgbClr val="DDDDD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9" name="cmdExport"/>
          <xdr:cNvPicPr preferRelativeResize="1">
            <a:picLocks noChangeAspect="1"/>
          </xdr:cNvPicPr>
        </xdr:nvPicPr>
        <xdr:blipFill>
          <a:blip r:embed="rId46"/>
          <a:stretch>
            <a:fillRect/>
          </a:stretch>
        </xdr:blipFill>
        <xdr:spPr>
          <a:xfrm>
            <a:off x="670" y="60"/>
            <a:ext cx="135" cy="54"/>
          </a:xfrm>
          <a:prstGeom prst="rect">
            <a:avLst/>
          </a:prstGeom>
          <a:noFill/>
          <a:ln w="9525" cmpd="sng">
            <a:noFill/>
          </a:ln>
        </xdr:spPr>
      </xdr:pic>
      <xdr:pic>
        <xdr:nvPicPr>
          <xdr:cNvPr id="50" name="cmbWgt"/>
          <xdr:cNvPicPr preferRelativeResize="1">
            <a:picLocks noChangeAspect="0"/>
          </xdr:cNvPicPr>
        </xdr:nvPicPr>
        <xdr:blipFill>
          <a:blip r:embed="rId47"/>
          <a:stretch>
            <a:fillRect/>
          </a:stretch>
        </xdr:blipFill>
        <xdr:spPr>
          <a:xfrm>
            <a:off x="507" y="89"/>
            <a:ext cx="154" cy="24"/>
          </a:xfrm>
          <a:prstGeom prst="rect">
            <a:avLst/>
          </a:prstGeom>
          <a:noFill/>
          <a:ln w="9525" cmpd="sng">
            <a:noFill/>
          </a:ln>
        </xdr:spPr>
      </xdr:pic>
      <xdr:pic>
        <xdr:nvPicPr>
          <xdr:cNvPr id="51" name="cmbFnc"/>
          <xdr:cNvPicPr preferRelativeResize="1">
            <a:picLocks noChangeAspect="0"/>
          </xdr:cNvPicPr>
        </xdr:nvPicPr>
        <xdr:blipFill>
          <a:blip r:embed="rId48"/>
          <a:stretch>
            <a:fillRect/>
          </a:stretch>
        </xdr:blipFill>
        <xdr:spPr>
          <a:xfrm>
            <a:off x="507" y="61"/>
            <a:ext cx="154" cy="22"/>
          </a:xfrm>
          <a:prstGeom prst="rect">
            <a:avLst/>
          </a:prstGeom>
          <a:noFill/>
          <a:ln w="9525" cmpd="sng">
            <a:noFill/>
          </a:ln>
        </xdr:spPr>
      </xdr:pic>
      <xdr:sp>
        <xdr:nvSpPr>
          <xdr:cNvPr id="52" name="TextBox 221"/>
          <xdr:cNvSpPr txBox="1">
            <a:spLocks noChangeArrowheads="1"/>
          </xdr:cNvSpPr>
        </xdr:nvSpPr>
        <xdr:spPr>
          <a:xfrm>
            <a:off x="369" y="63"/>
            <a:ext cx="136" cy="2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Select Scaling Function</a:t>
            </a:r>
          </a:p>
        </xdr:txBody>
      </xdr:sp>
      <xdr:sp>
        <xdr:nvSpPr>
          <xdr:cNvPr id="53" name="TextBox 222"/>
          <xdr:cNvSpPr txBox="1">
            <a:spLocks noChangeArrowheads="1"/>
          </xdr:cNvSpPr>
        </xdr:nvSpPr>
        <xdr:spPr>
          <a:xfrm>
            <a:off x="369" y="91"/>
            <a:ext cx="104" cy="2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Select Weight Set</a:t>
            </a:r>
          </a:p>
        </xdr:txBody>
      </xdr:sp>
      <xdr:sp>
        <xdr:nvSpPr>
          <xdr:cNvPr id="54" name="TextBox 223"/>
          <xdr:cNvSpPr txBox="1">
            <a:spLocks noChangeArrowheads="1"/>
          </xdr:cNvSpPr>
        </xdr:nvSpPr>
        <xdr:spPr>
          <a:xfrm>
            <a:off x="369" y="34"/>
            <a:ext cx="327"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Select inputs to export tabular results to new worksheet</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96</xdr:row>
      <xdr:rowOff>76200</xdr:rowOff>
    </xdr:from>
    <xdr:to>
      <xdr:col>11</xdr:col>
      <xdr:colOff>142875</xdr:colOff>
      <xdr:row>118</xdr:row>
      <xdr:rowOff>123825</xdr:rowOff>
    </xdr:to>
    <xdr:graphicFrame>
      <xdr:nvGraphicFramePr>
        <xdr:cNvPr id="1" name="Chart 7"/>
        <xdr:cNvGraphicFramePr/>
      </xdr:nvGraphicFramePr>
      <xdr:xfrm>
        <a:off x="8963025" y="17716500"/>
        <a:ext cx="4276725" cy="3609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76200</xdr:rowOff>
    </xdr:from>
    <xdr:to>
      <xdr:col>3</xdr:col>
      <xdr:colOff>2000250</xdr:colOff>
      <xdr:row>1</xdr:row>
      <xdr:rowOff>190500</xdr:rowOff>
    </xdr:to>
    <xdr:pic>
      <xdr:nvPicPr>
        <xdr:cNvPr id="1" name="CommandButton1"/>
        <xdr:cNvPicPr preferRelativeResize="1">
          <a:picLocks noChangeAspect="1"/>
        </xdr:cNvPicPr>
      </xdr:nvPicPr>
      <xdr:blipFill>
        <a:blip r:embed="rId1"/>
        <a:stretch>
          <a:fillRect/>
        </a:stretch>
      </xdr:blipFill>
      <xdr:spPr>
        <a:xfrm>
          <a:off x="8724900" y="76200"/>
          <a:ext cx="1981200" cy="361950"/>
        </a:xfrm>
        <a:prstGeom prst="rect">
          <a:avLst/>
        </a:prstGeom>
        <a:noFill/>
        <a:ln w="9525" cmpd="sng">
          <a:noFill/>
        </a:ln>
      </xdr:spPr>
    </xdr:pic>
    <xdr:clientData/>
  </xdr:twoCellAnchor>
  <xdr:twoCellAnchor editAs="oneCell">
    <xdr:from>
      <xdr:col>3</xdr:col>
      <xdr:colOff>38100</xdr:colOff>
      <xdr:row>1</xdr:row>
      <xdr:rowOff>219075</xdr:rowOff>
    </xdr:from>
    <xdr:to>
      <xdr:col>3</xdr:col>
      <xdr:colOff>1981200</xdr:colOff>
      <xdr:row>3</xdr:row>
      <xdr:rowOff>104775</xdr:rowOff>
    </xdr:to>
    <xdr:pic>
      <xdr:nvPicPr>
        <xdr:cNvPr id="2" name="CommandButton2"/>
        <xdr:cNvPicPr preferRelativeResize="1">
          <a:picLocks noChangeAspect="1"/>
        </xdr:cNvPicPr>
      </xdr:nvPicPr>
      <xdr:blipFill>
        <a:blip r:embed="rId2"/>
        <a:stretch>
          <a:fillRect/>
        </a:stretch>
      </xdr:blipFill>
      <xdr:spPr>
        <a:xfrm>
          <a:off x="8743950" y="466725"/>
          <a:ext cx="1943100" cy="381000"/>
        </a:xfrm>
        <a:prstGeom prst="rect">
          <a:avLst/>
        </a:prstGeom>
        <a:noFill/>
        <a:ln w="9525" cmpd="sng">
          <a:noFill/>
        </a:ln>
      </xdr:spPr>
    </xdr:pic>
    <xdr:clientData/>
  </xdr:twoCellAnchor>
  <xdr:twoCellAnchor editAs="oneCell">
    <xdr:from>
      <xdr:col>3</xdr:col>
      <xdr:colOff>47625</xdr:colOff>
      <xdr:row>3</xdr:row>
      <xdr:rowOff>123825</xdr:rowOff>
    </xdr:from>
    <xdr:to>
      <xdr:col>3</xdr:col>
      <xdr:colOff>1981200</xdr:colOff>
      <xdr:row>4</xdr:row>
      <xdr:rowOff>228600</xdr:rowOff>
    </xdr:to>
    <xdr:pic>
      <xdr:nvPicPr>
        <xdr:cNvPr id="3" name="CommandButton3"/>
        <xdr:cNvPicPr preferRelativeResize="1">
          <a:picLocks noChangeAspect="1"/>
        </xdr:cNvPicPr>
      </xdr:nvPicPr>
      <xdr:blipFill>
        <a:blip r:embed="rId3"/>
        <a:stretch>
          <a:fillRect/>
        </a:stretch>
      </xdr:blipFill>
      <xdr:spPr>
        <a:xfrm>
          <a:off x="8753475" y="866775"/>
          <a:ext cx="1933575" cy="352425"/>
        </a:xfrm>
        <a:prstGeom prst="rect">
          <a:avLst/>
        </a:prstGeom>
        <a:noFill/>
        <a:ln w="9525" cmpd="sng">
          <a:noFill/>
        </a:ln>
      </xdr:spPr>
    </xdr:pic>
    <xdr:clientData/>
  </xdr:twoCellAnchor>
  <xdr:twoCellAnchor editAs="oneCell">
    <xdr:from>
      <xdr:col>2</xdr:col>
      <xdr:colOff>676275</xdr:colOff>
      <xdr:row>12</xdr:row>
      <xdr:rowOff>28575</xdr:rowOff>
    </xdr:from>
    <xdr:to>
      <xdr:col>2</xdr:col>
      <xdr:colOff>3600450</xdr:colOff>
      <xdr:row>12</xdr:row>
      <xdr:rowOff>381000</xdr:rowOff>
    </xdr:to>
    <xdr:pic>
      <xdr:nvPicPr>
        <xdr:cNvPr id="4" name="CommandButton4"/>
        <xdr:cNvPicPr preferRelativeResize="1">
          <a:picLocks noChangeAspect="1"/>
        </xdr:cNvPicPr>
      </xdr:nvPicPr>
      <xdr:blipFill>
        <a:blip r:embed="rId4"/>
        <a:stretch>
          <a:fillRect/>
        </a:stretch>
      </xdr:blipFill>
      <xdr:spPr>
        <a:xfrm>
          <a:off x="5334000" y="8820150"/>
          <a:ext cx="29241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9</xdr:row>
      <xdr:rowOff>514350</xdr:rowOff>
    </xdr:from>
    <xdr:to>
      <xdr:col>3</xdr:col>
      <xdr:colOff>3867150</xdr:colOff>
      <xdr:row>14</xdr:row>
      <xdr:rowOff>371475</xdr:rowOff>
    </xdr:to>
    <xdr:graphicFrame>
      <xdr:nvGraphicFramePr>
        <xdr:cNvPr id="1" name="Chart 1"/>
        <xdr:cNvGraphicFramePr/>
      </xdr:nvGraphicFramePr>
      <xdr:xfrm>
        <a:off x="5153025" y="2324100"/>
        <a:ext cx="3676650" cy="260032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1162050</xdr:colOff>
      <xdr:row>9</xdr:row>
      <xdr:rowOff>47625</xdr:rowOff>
    </xdr:from>
    <xdr:to>
      <xdr:col>3</xdr:col>
      <xdr:colOff>2790825</xdr:colOff>
      <xdr:row>9</xdr:row>
      <xdr:rowOff>485775</xdr:rowOff>
    </xdr:to>
    <xdr:pic>
      <xdr:nvPicPr>
        <xdr:cNvPr id="2" name="CommandButton1"/>
        <xdr:cNvPicPr preferRelativeResize="1">
          <a:picLocks noChangeAspect="1"/>
        </xdr:cNvPicPr>
      </xdr:nvPicPr>
      <xdr:blipFill>
        <a:blip r:embed="rId2"/>
        <a:stretch>
          <a:fillRect/>
        </a:stretch>
      </xdr:blipFill>
      <xdr:spPr>
        <a:xfrm>
          <a:off x="6124575" y="1857375"/>
          <a:ext cx="16287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1</xdr:row>
      <xdr:rowOff>142875</xdr:rowOff>
    </xdr:from>
    <xdr:to>
      <xdr:col>1</xdr:col>
      <xdr:colOff>1600200</xdr:colOff>
      <xdr:row>3</xdr:row>
      <xdr:rowOff>152400</xdr:rowOff>
    </xdr:to>
    <xdr:pic>
      <xdr:nvPicPr>
        <xdr:cNvPr id="1" name="CommandButton1"/>
        <xdr:cNvPicPr preferRelativeResize="1">
          <a:picLocks noChangeAspect="1"/>
        </xdr:cNvPicPr>
      </xdr:nvPicPr>
      <xdr:blipFill>
        <a:blip r:embed="rId1"/>
        <a:stretch>
          <a:fillRect/>
        </a:stretch>
      </xdr:blipFill>
      <xdr:spPr>
        <a:xfrm>
          <a:off x="7639050" y="342900"/>
          <a:ext cx="1219200"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osed%20projects\Yucca%20Mtn\PA%20prioritization\Model\example%20prioritiz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F%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st_model_051106_k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template"/>
      <sheetName val="Value functions"/>
      <sheetName val="Weights"/>
      <sheetName val="Example results"/>
      <sheetName val="Calculations"/>
      <sheetName val="Menu entri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F Char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te &amp; Problem Information"/>
      <sheetName val="INPUTS"/>
      <sheetName val="Value functions"/>
      <sheetName val="Weights"/>
      <sheetName val="Archived Inputs"/>
      <sheetName val="Alternatives"/>
      <sheetName val="Menu entries"/>
      <sheetName val="Consequence table"/>
      <sheetName val="Sorted Components"/>
      <sheetName val="Sorted Portfolios"/>
      <sheetName val="Portfolio Analyzer"/>
      <sheetName val="Graphs"/>
    </sheetNames>
    <sheetDataSet>
      <sheetData sheetId="6">
        <row r="3">
          <cell r="B3" t="str">
            <v>Extremely unlikely (e.g., 1 in 1,000,000)</v>
          </cell>
        </row>
        <row r="4">
          <cell r="B4" t="str">
            <v>Very unlikely (e.g., 1 in 100,000)</v>
          </cell>
        </row>
        <row r="5">
          <cell r="B5" t="str">
            <v>Unlikely (e.g., 1 in 10,000)</v>
          </cell>
        </row>
        <row r="6">
          <cell r="B6" t="str">
            <v>Somewhat unlikely (e.g., 1 in 1,000)</v>
          </cell>
        </row>
        <row r="7">
          <cell r="B7" t="str">
            <v>Relatively likely (e.g., 1 in 100)</v>
          </cell>
        </row>
        <row r="8">
          <cell r="B8" t="str">
            <v>Likely (e.g., 1 in 10)</v>
          </cell>
        </row>
        <row r="9">
          <cell r="B9" t="str">
            <v>Assured or almost certain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0">
    <tabColor indexed="42"/>
    <pageSetUpPr fitToPage="1"/>
  </sheetPr>
  <dimension ref="A1:C25"/>
  <sheetViews>
    <sheetView showRowColHeaders="0" tabSelected="1" defaultGridColor="0" zoomScale="80" zoomScaleNormal="80" colorId="22" workbookViewId="0" topLeftCell="A1">
      <pane ySplit="1" topLeftCell="W2" activePane="bottomLeft" state="frozen"/>
      <selection pane="topLeft" activeCell="A2" sqref="A2"/>
      <selection pane="bottomLeft" activeCell="A2" sqref="A2"/>
    </sheetView>
  </sheetViews>
  <sheetFormatPr defaultColWidth="9.140625" defaultRowHeight="12.75" zeroHeight="1"/>
  <cols>
    <col min="1" max="1" width="40.7109375" style="14" customWidth="1"/>
    <col min="2" max="2" width="5.28125" style="14" customWidth="1"/>
    <col min="3" max="3" width="68.421875" style="14" customWidth="1"/>
    <col min="4" max="16384" width="0" style="14" hidden="1" customWidth="1"/>
  </cols>
  <sheetData>
    <row r="1" spans="1:3" ht="57" customHeight="1">
      <c r="A1" s="288" t="s">
        <v>18</v>
      </c>
      <c r="B1" s="289"/>
      <c r="C1" s="290"/>
    </row>
    <row r="2" spans="1:3" ht="12.75">
      <c r="A2" s="291"/>
      <c r="B2" s="292"/>
      <c r="C2" s="293"/>
    </row>
    <row r="3" spans="1:3" ht="12.75">
      <c r="A3" s="294" t="s">
        <v>20</v>
      </c>
      <c r="B3" s="254"/>
      <c r="C3" s="319" t="s">
        <v>285</v>
      </c>
    </row>
    <row r="4" spans="1:3" ht="12.75">
      <c r="A4" s="294" t="s">
        <v>21</v>
      </c>
      <c r="B4" s="254"/>
      <c r="C4" s="319"/>
    </row>
    <row r="5" spans="1:3" ht="12.75">
      <c r="A5" s="294" t="s">
        <v>19</v>
      </c>
      <c r="B5" s="254"/>
      <c r="C5" s="319" t="s">
        <v>286</v>
      </c>
    </row>
    <row r="6" spans="1:3" ht="12.75">
      <c r="A6" s="294"/>
      <c r="B6" s="254"/>
      <c r="C6" s="295"/>
    </row>
    <row r="7" spans="1:3" ht="12.75">
      <c r="A7" s="296" t="s">
        <v>77</v>
      </c>
      <c r="B7" s="39"/>
      <c r="C7" s="297"/>
    </row>
    <row r="8" spans="1:3" ht="34.5" customHeight="1">
      <c r="A8" s="450" t="s">
        <v>36</v>
      </c>
      <c r="B8" s="451"/>
      <c r="C8" s="452"/>
    </row>
    <row r="9" spans="1:3" ht="12.75">
      <c r="A9" s="453" t="s">
        <v>82</v>
      </c>
      <c r="B9" s="454"/>
      <c r="C9" s="455"/>
    </row>
    <row r="10" spans="1:3" ht="30" customHeight="1">
      <c r="A10" s="298" t="s">
        <v>22</v>
      </c>
      <c r="B10" s="299" t="b">
        <v>1</v>
      </c>
      <c r="C10" s="300"/>
    </row>
    <row r="11" spans="1:3" ht="30" customHeight="1">
      <c r="A11" s="298" t="s">
        <v>23</v>
      </c>
      <c r="B11" s="299" t="b">
        <v>0</v>
      </c>
      <c r="C11" s="301" t="s">
        <v>202</v>
      </c>
    </row>
    <row r="12" spans="1:3" ht="30" customHeight="1">
      <c r="A12" s="298" t="s">
        <v>24</v>
      </c>
      <c r="B12" s="299" t="b">
        <v>1</v>
      </c>
      <c r="C12" s="300"/>
    </row>
    <row r="13" spans="1:3" ht="30" customHeight="1">
      <c r="A13" s="298" t="s">
        <v>25</v>
      </c>
      <c r="B13" s="299" t="b">
        <v>0</v>
      </c>
      <c r="C13" s="300"/>
    </row>
    <row r="14" spans="1:3" ht="12.75">
      <c r="A14" s="296" t="s">
        <v>78</v>
      </c>
      <c r="B14" s="39"/>
      <c r="C14" s="297"/>
    </row>
    <row r="15" spans="1:3" ht="31.5" customHeight="1">
      <c r="A15" s="450" t="s">
        <v>37</v>
      </c>
      <c r="B15" s="451"/>
      <c r="C15" s="452"/>
    </row>
    <row r="16" spans="1:3" ht="12.75">
      <c r="A16" s="453" t="s">
        <v>26</v>
      </c>
      <c r="B16" s="456"/>
      <c r="C16" s="457"/>
    </row>
    <row r="17" spans="1:3" ht="30" customHeight="1">
      <c r="A17" s="298" t="s">
        <v>45</v>
      </c>
      <c r="B17" s="299" t="b">
        <v>0</v>
      </c>
      <c r="C17" s="300"/>
    </row>
    <row r="18" spans="1:3" ht="30" customHeight="1">
      <c r="A18" s="298" t="s">
        <v>269</v>
      </c>
      <c r="B18" s="299">
        <v>3</v>
      </c>
      <c r="C18" s="301"/>
    </row>
    <row r="19" spans="1:3" ht="30" customHeight="1">
      <c r="A19" s="298" t="s">
        <v>305</v>
      </c>
      <c r="B19" s="299" t="b">
        <v>0</v>
      </c>
      <c r="C19" s="300"/>
    </row>
    <row r="20" spans="1:3" ht="30" customHeight="1">
      <c r="A20" s="298" t="s">
        <v>11</v>
      </c>
      <c r="B20" s="299" t="b">
        <v>0</v>
      </c>
      <c r="C20" s="300"/>
    </row>
    <row r="21" spans="1:3" ht="52.5" customHeight="1">
      <c r="A21" s="302" t="s">
        <v>48</v>
      </c>
      <c r="B21" s="299" t="b">
        <v>0</v>
      </c>
      <c r="C21" s="300"/>
    </row>
    <row r="22" spans="1:3" ht="55.5" customHeight="1">
      <c r="A22" s="302" t="s">
        <v>49</v>
      </c>
      <c r="B22" s="299" t="b">
        <v>0</v>
      </c>
      <c r="C22" s="300"/>
    </row>
    <row r="23" spans="1:3" ht="30" customHeight="1">
      <c r="A23" s="302" t="s">
        <v>50</v>
      </c>
      <c r="B23" s="299" t="b">
        <v>0</v>
      </c>
      <c r="C23" s="300"/>
    </row>
    <row r="24" spans="1:3" ht="55.5" customHeight="1">
      <c r="A24" s="302" t="s">
        <v>51</v>
      </c>
      <c r="B24" s="299" t="b">
        <v>0</v>
      </c>
      <c r="C24" s="300"/>
    </row>
    <row r="25" spans="1:3" ht="39" customHeight="1" thickBot="1">
      <c r="A25" s="303" t="s">
        <v>52</v>
      </c>
      <c r="B25" s="304" t="b">
        <v>0</v>
      </c>
      <c r="C25" s="305"/>
    </row>
  </sheetData>
  <sheetProtection password="CA19" sheet="1" objects="1" scenarios="1"/>
  <mergeCells count="4">
    <mergeCell ref="A8:C8"/>
    <mergeCell ref="A15:C15"/>
    <mergeCell ref="A9:C9"/>
    <mergeCell ref="A16:C16"/>
  </mergeCells>
  <printOptions/>
  <pageMargins left="0.75" right="0.75" top="1" bottom="1" header="0.5" footer="0.5"/>
  <pageSetup fitToHeight="1" fitToWidth="1" horizontalDpi="300" verticalDpi="300" orientation="portrait" scale="86" r:id="rId4"/>
  <drawing r:id="rId3"/>
  <legacyDrawing r:id="rId2"/>
</worksheet>
</file>

<file path=xl/worksheets/sheet10.xml><?xml version="1.0" encoding="utf-8"?>
<worksheet xmlns="http://schemas.openxmlformats.org/spreadsheetml/2006/main" xmlns:r="http://schemas.openxmlformats.org/officeDocument/2006/relationships">
  <sheetPr codeName="Sheet2">
    <tabColor indexed="42"/>
  </sheetPr>
  <dimension ref="A1:B19"/>
  <sheetViews>
    <sheetView showRowColHeaders="0" workbookViewId="0" topLeftCell="A1">
      <selection activeCell="A7" sqref="A7"/>
    </sheetView>
  </sheetViews>
  <sheetFormatPr defaultColWidth="9.140625" defaultRowHeight="12.75" zeroHeight="1"/>
  <cols>
    <col min="1" max="1" width="108.8515625" style="14" customWidth="1"/>
    <col min="2" max="2" width="27.140625" style="14" customWidth="1"/>
    <col min="3" max="16384" width="0" style="14" hidden="1" customWidth="1"/>
  </cols>
  <sheetData>
    <row r="1" spans="1:2" ht="15.75">
      <c r="A1" s="172" t="s">
        <v>251</v>
      </c>
      <c r="B1" s="195"/>
    </row>
    <row r="2" spans="1:2" ht="15.75">
      <c r="A2" s="172" t="s">
        <v>252</v>
      </c>
      <c r="B2" s="195"/>
    </row>
    <row r="3" spans="1:2" ht="15.75">
      <c r="A3" s="172" t="s">
        <v>253</v>
      </c>
      <c r="B3" s="195"/>
    </row>
    <row r="4" spans="1:2" ht="15.75">
      <c r="A4" s="172" t="s">
        <v>254</v>
      </c>
      <c r="B4" s="195"/>
    </row>
    <row r="5" spans="1:2" ht="15.75">
      <c r="A5" s="172" t="s">
        <v>255</v>
      </c>
      <c r="B5" s="195"/>
    </row>
    <row r="6" spans="1:2" ht="16.5" thickBot="1">
      <c r="A6" s="172" t="s">
        <v>256</v>
      </c>
      <c r="B6" s="195"/>
    </row>
    <row r="7" spans="1:2" ht="39" thickBot="1">
      <c r="A7" s="203" t="s">
        <v>304</v>
      </c>
      <c r="B7" s="204" t="s">
        <v>257</v>
      </c>
    </row>
    <row r="8" spans="1:2" ht="12.75">
      <c r="A8" s="306" t="s">
        <v>45</v>
      </c>
      <c r="B8" s="441">
        <v>0.5</v>
      </c>
    </row>
    <row r="9" spans="1:2" ht="12.75">
      <c r="A9" s="307" t="s">
        <v>301</v>
      </c>
      <c r="B9" s="441">
        <v>1</v>
      </c>
    </row>
    <row r="10" spans="1:2" ht="12.75">
      <c r="A10" s="307" t="s">
        <v>302</v>
      </c>
      <c r="B10" s="441">
        <v>0.5</v>
      </c>
    </row>
    <row r="11" spans="1:2" ht="12.75">
      <c r="A11" s="307" t="s">
        <v>303</v>
      </c>
      <c r="B11" s="441">
        <v>0.1</v>
      </c>
    </row>
    <row r="12" spans="1:2" ht="12.75">
      <c r="A12" s="307" t="s">
        <v>306</v>
      </c>
      <c r="B12" s="441">
        <v>0.5</v>
      </c>
    </row>
    <row r="13" spans="1:2" ht="12.75">
      <c r="A13" s="307" t="s">
        <v>11</v>
      </c>
      <c r="B13" s="441">
        <v>0.5</v>
      </c>
    </row>
    <row r="14" spans="1:2" ht="12.75">
      <c r="A14" s="307" t="s">
        <v>48</v>
      </c>
      <c r="B14" s="441">
        <v>1</v>
      </c>
    </row>
    <row r="15" spans="1:2" ht="12.75">
      <c r="A15" s="307" t="s">
        <v>49</v>
      </c>
      <c r="B15" s="441">
        <v>0.8</v>
      </c>
    </row>
    <row r="16" spans="1:2" ht="12.75">
      <c r="A16" s="307" t="s">
        <v>50</v>
      </c>
      <c r="B16" s="441">
        <v>0.3</v>
      </c>
    </row>
    <row r="17" spans="1:2" ht="12.75">
      <c r="A17" s="307" t="s">
        <v>51</v>
      </c>
      <c r="B17" s="441">
        <v>0.5</v>
      </c>
    </row>
    <row r="18" spans="1:2" ht="12.75">
      <c r="A18" s="308" t="s">
        <v>52</v>
      </c>
      <c r="B18" s="441">
        <v>0.1</v>
      </c>
    </row>
    <row r="19" ht="12.75" hidden="1">
      <c r="B19" s="322">
        <v>0.1</v>
      </c>
    </row>
  </sheetData>
  <sheetProtection sheet="1" objects="1" scenarios="1"/>
  <printOptions/>
  <pageMargins left="0.75" right="0.75" top="1" bottom="1" header="0.5" footer="0.5"/>
  <pageSetup horizontalDpi="1200" verticalDpi="1200" orientation="portrait" scale="65" r:id="rId2"/>
  <drawing r:id="rId1"/>
</worksheet>
</file>

<file path=xl/worksheets/sheet2.xml><?xml version="1.0" encoding="utf-8"?>
<worksheet xmlns="http://schemas.openxmlformats.org/spreadsheetml/2006/main" xmlns:r="http://schemas.openxmlformats.org/officeDocument/2006/relationships">
  <sheetPr codeName="Sheet8">
    <tabColor indexed="42"/>
  </sheetPr>
  <dimension ref="A1:C25"/>
  <sheetViews>
    <sheetView showRowColHeaders="0" defaultGridColor="0" colorId="22" workbookViewId="0" topLeftCell="B1">
      <pane ySplit="4" topLeftCell="W5" activePane="bottomLeft" state="frozen"/>
      <selection pane="topLeft" activeCell="B7" sqref="B7"/>
      <selection pane="bottomLeft" activeCell="B3" sqref="B3"/>
    </sheetView>
  </sheetViews>
  <sheetFormatPr defaultColWidth="9.140625" defaultRowHeight="12.75" zeroHeight="1"/>
  <cols>
    <col min="1" max="1" width="3.00390625" style="14" hidden="1" customWidth="1"/>
    <col min="2" max="2" width="51.8515625" style="309" customWidth="1"/>
    <col min="3" max="3" width="67.57421875" style="309" customWidth="1"/>
    <col min="4" max="16384" width="9.140625" style="14" hidden="1" customWidth="1"/>
  </cols>
  <sheetData>
    <row r="1" spans="1:3" ht="12.75">
      <c r="A1"/>
      <c r="B1" s="253" t="s">
        <v>240</v>
      </c>
      <c r="C1" s="195"/>
    </row>
    <row r="2" spans="1:3" ht="12.75">
      <c r="A2"/>
      <c r="B2" s="253" t="s">
        <v>241</v>
      </c>
      <c r="C2" s="195"/>
    </row>
    <row r="3" spans="1:3" ht="12.75">
      <c r="A3"/>
      <c r="B3" s="253"/>
      <c r="C3" s="195"/>
    </row>
    <row r="4" spans="1:3" ht="12.75">
      <c r="A4"/>
      <c r="B4" s="23" t="s">
        <v>33</v>
      </c>
      <c r="C4" s="23" t="s">
        <v>34</v>
      </c>
    </row>
    <row r="5" spans="1:3" s="312" customFormat="1" ht="19.5" customHeight="1">
      <c r="A5" s="310">
        <v>1</v>
      </c>
      <c r="B5" s="344" t="s">
        <v>288</v>
      </c>
      <c r="C5" s="311"/>
    </row>
    <row r="6" spans="1:3" s="312" customFormat="1" ht="19.5" customHeight="1">
      <c r="A6" s="310">
        <v>2</v>
      </c>
      <c r="B6" s="344" t="s">
        <v>293</v>
      </c>
      <c r="C6" s="311"/>
    </row>
    <row r="7" spans="1:3" s="312" customFormat="1" ht="19.5" customHeight="1">
      <c r="A7" s="310">
        <v>3</v>
      </c>
      <c r="B7" s="344" t="s">
        <v>354</v>
      </c>
      <c r="C7" s="311"/>
    </row>
    <row r="8" spans="1:3" s="312" customFormat="1" ht="19.5" customHeight="1">
      <c r="A8" s="310">
        <v>4</v>
      </c>
      <c r="B8" s="344" t="s">
        <v>353</v>
      </c>
      <c r="C8" s="311"/>
    </row>
    <row r="9" spans="1:3" s="312" customFormat="1" ht="19.5" customHeight="1">
      <c r="A9" s="310">
        <v>5</v>
      </c>
      <c r="B9" s="344" t="s">
        <v>356</v>
      </c>
      <c r="C9" s="311"/>
    </row>
    <row r="10" spans="1:3" s="312" customFormat="1" ht="19.5" customHeight="1">
      <c r="A10" s="310">
        <v>6</v>
      </c>
      <c r="B10" s="344" t="s">
        <v>355</v>
      </c>
      <c r="C10" s="311"/>
    </row>
    <row r="11" spans="1:3" s="312" customFormat="1" ht="19.5" customHeight="1">
      <c r="A11" s="310">
        <v>7</v>
      </c>
      <c r="B11" s="344" t="s">
        <v>350</v>
      </c>
      <c r="C11" s="311"/>
    </row>
    <row r="12" spans="1:3" s="312" customFormat="1" ht="19.5" customHeight="1">
      <c r="A12" s="310">
        <v>8</v>
      </c>
      <c r="B12" s="344" t="s">
        <v>351</v>
      </c>
      <c r="C12" s="311"/>
    </row>
    <row r="13" spans="1:3" s="312" customFormat="1" ht="19.5" customHeight="1">
      <c r="A13" s="310">
        <v>9</v>
      </c>
      <c r="B13" s="344" t="s">
        <v>352</v>
      </c>
      <c r="C13" s="311"/>
    </row>
    <row r="14" spans="1:3" s="312" customFormat="1" ht="19.5" customHeight="1">
      <c r="A14" s="310">
        <v>10</v>
      </c>
      <c r="B14" s="344"/>
      <c r="C14" s="311"/>
    </row>
    <row r="15" spans="1:3" s="312" customFormat="1" ht="19.5" customHeight="1">
      <c r="A15" s="310">
        <v>11</v>
      </c>
      <c r="B15" s="344"/>
      <c r="C15" s="311"/>
    </row>
    <row r="16" spans="1:3" s="312" customFormat="1" ht="19.5" customHeight="1">
      <c r="A16" s="310">
        <v>12</v>
      </c>
      <c r="B16" s="344"/>
      <c r="C16" s="311"/>
    </row>
    <row r="17" spans="1:3" s="312" customFormat="1" ht="19.5" customHeight="1">
      <c r="A17" s="310">
        <v>13</v>
      </c>
      <c r="B17" s="344"/>
      <c r="C17" s="311"/>
    </row>
    <row r="18" spans="1:3" s="312" customFormat="1" ht="19.5" customHeight="1">
      <c r="A18" s="310">
        <v>14</v>
      </c>
      <c r="B18" s="344"/>
      <c r="C18" s="311"/>
    </row>
    <row r="19" spans="1:3" s="312" customFormat="1" ht="19.5" customHeight="1">
      <c r="A19" s="310">
        <v>15</v>
      </c>
      <c r="B19" s="344"/>
      <c r="C19" s="311"/>
    </row>
    <row r="20" spans="1:3" s="312" customFormat="1" ht="19.5" customHeight="1">
      <c r="A20" s="310">
        <v>16</v>
      </c>
      <c r="B20" s="344"/>
      <c r="C20" s="311"/>
    </row>
    <row r="21" spans="1:3" s="312" customFormat="1" ht="19.5" customHeight="1">
      <c r="A21" s="310">
        <v>17</v>
      </c>
      <c r="B21" s="344"/>
      <c r="C21" s="311"/>
    </row>
    <row r="22" spans="1:3" s="312" customFormat="1" ht="19.5" customHeight="1">
      <c r="A22" s="310">
        <v>18</v>
      </c>
      <c r="B22" s="344"/>
      <c r="C22" s="311"/>
    </row>
    <row r="23" spans="1:3" s="312" customFormat="1" ht="19.5" customHeight="1">
      <c r="A23" s="310">
        <v>19</v>
      </c>
      <c r="B23" s="344"/>
      <c r="C23" s="311"/>
    </row>
    <row r="24" spans="1:3" s="312" customFormat="1" ht="19.5" customHeight="1">
      <c r="A24" s="310">
        <v>20</v>
      </c>
      <c r="B24" s="344"/>
      <c r="C24" s="313"/>
    </row>
    <row r="25" spans="1:3" s="312" customFormat="1" ht="19.5" customHeight="1">
      <c r="A25" s="310"/>
      <c r="B25" s="314" t="s">
        <v>35</v>
      </c>
      <c r="C25" s="315">
        <f>COUNTA(B5:B24)</f>
        <v>9</v>
      </c>
    </row>
  </sheetData>
  <sheetProtection password="CA19" sheet="1" objects="1" scenarios="1"/>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codeName="Sheet17">
    <tabColor indexed="42"/>
    <pageSetUpPr fitToPage="1"/>
  </sheetPr>
  <dimension ref="A1:L24"/>
  <sheetViews>
    <sheetView showRowColHeaders="0" defaultGridColor="0" colorId="22" workbookViewId="0" topLeftCell="A1">
      <pane xSplit="1" ySplit="2" topLeftCell="B3" activePane="bottomRight" state="frozen"/>
      <selection pane="topLeft" activeCell="B7" sqref="B7"/>
      <selection pane="topRight" activeCell="B7" sqref="B7"/>
      <selection pane="bottomLeft" activeCell="B7" sqref="B7"/>
      <selection pane="bottomRight" activeCell="B3" sqref="B3"/>
    </sheetView>
  </sheetViews>
  <sheetFormatPr defaultColWidth="5.7109375" defaultRowHeight="12.75"/>
  <cols>
    <col min="1" max="1" width="50.00390625" style="425" customWidth="1"/>
    <col min="2" max="2" width="35.7109375" style="435" customWidth="1"/>
    <col min="3" max="12" width="35.7109375" style="425" customWidth="1"/>
    <col min="13" max="16384" width="0" style="425" hidden="1" customWidth="1"/>
  </cols>
  <sheetData>
    <row r="1" spans="1:12" ht="18.75" customHeight="1">
      <c r="A1" s="422" t="s">
        <v>10</v>
      </c>
      <c r="B1" s="423"/>
      <c r="C1" s="423"/>
      <c r="D1" s="423"/>
      <c r="E1" s="424"/>
      <c r="F1" s="424"/>
      <c r="G1" s="424"/>
      <c r="H1" s="424"/>
      <c r="I1" s="424"/>
      <c r="J1" s="424"/>
      <c r="K1" s="424"/>
      <c r="L1" s="424"/>
    </row>
    <row r="2" spans="1:12" ht="92.25" customHeight="1">
      <c r="A2" s="151">
        <v>9</v>
      </c>
      <c r="B2" s="426">
        <v>1</v>
      </c>
      <c r="C2" s="426">
        <v>1</v>
      </c>
      <c r="D2" s="424"/>
      <c r="E2" s="424"/>
      <c r="F2" s="424"/>
      <c r="G2" s="424"/>
      <c r="H2" s="424"/>
      <c r="I2" s="424"/>
      <c r="J2" s="424"/>
      <c r="K2" s="424"/>
      <c r="L2" s="424"/>
    </row>
    <row r="3" spans="1:5" ht="39" customHeight="1">
      <c r="A3" s="427" t="s">
        <v>169</v>
      </c>
      <c r="B3" s="152" t="s">
        <v>287</v>
      </c>
      <c r="C3" s="152" t="s">
        <v>122</v>
      </c>
      <c r="D3" s="152" t="s">
        <v>368</v>
      </c>
      <c r="E3" s="152" t="s">
        <v>122</v>
      </c>
    </row>
    <row r="4" spans="1:12" ht="38.25" customHeight="1">
      <c r="A4" s="428" t="s">
        <v>27</v>
      </c>
      <c r="B4" s="150">
        <v>2</v>
      </c>
      <c r="C4" s="150">
        <v>1</v>
      </c>
      <c r="D4" s="150">
        <v>2</v>
      </c>
      <c r="E4" s="150">
        <v>1</v>
      </c>
      <c r="F4" s="429"/>
      <c r="G4" s="430"/>
      <c r="H4" s="430"/>
      <c r="I4" s="430"/>
      <c r="J4" s="430"/>
      <c r="K4" s="430"/>
      <c r="L4" s="430"/>
    </row>
    <row r="5" spans="1:12" ht="30" customHeight="1">
      <c r="A5" s="428" t="s">
        <v>28</v>
      </c>
      <c r="B5" s="150">
        <v>2</v>
      </c>
      <c r="C5" s="150">
        <v>1</v>
      </c>
      <c r="D5" s="150">
        <v>2</v>
      </c>
      <c r="E5" s="150">
        <v>1</v>
      </c>
      <c r="F5" s="429"/>
      <c r="G5" s="430"/>
      <c r="H5" s="430"/>
      <c r="I5" s="430"/>
      <c r="J5" s="430"/>
      <c r="K5" s="430"/>
      <c r="L5" s="430"/>
    </row>
    <row r="6" spans="1:12" ht="42" customHeight="1">
      <c r="A6" s="428" t="s">
        <v>29</v>
      </c>
      <c r="B6" s="150">
        <v>4</v>
      </c>
      <c r="C6" s="150">
        <v>1</v>
      </c>
      <c r="D6" s="150">
        <v>4</v>
      </c>
      <c r="E6" s="150">
        <v>1</v>
      </c>
      <c r="F6" s="429"/>
      <c r="G6" s="430"/>
      <c r="H6" s="430"/>
      <c r="I6" s="430"/>
      <c r="J6" s="430"/>
      <c r="K6" s="430"/>
      <c r="L6" s="430"/>
    </row>
    <row r="7" spans="1:12" ht="38.25" customHeight="1">
      <c r="A7" s="428" t="s">
        <v>30</v>
      </c>
      <c r="B7" s="150">
        <v>2</v>
      </c>
      <c r="C7" s="150">
        <v>1</v>
      </c>
      <c r="D7" s="150">
        <v>1</v>
      </c>
      <c r="E7" s="150">
        <v>1</v>
      </c>
      <c r="F7" s="429"/>
      <c r="G7" s="430"/>
      <c r="H7" s="430"/>
      <c r="I7" s="430"/>
      <c r="J7" s="430"/>
      <c r="K7" s="430"/>
      <c r="L7" s="430"/>
    </row>
    <row r="8" spans="1:12" ht="39" customHeight="1">
      <c r="A8" s="431" t="s">
        <v>369</v>
      </c>
      <c r="B8" s="154">
        <v>5</v>
      </c>
      <c r="C8" s="154">
        <v>1</v>
      </c>
      <c r="D8" s="154">
        <v>1</v>
      </c>
      <c r="E8" s="154">
        <v>1</v>
      </c>
      <c r="F8" s="429"/>
      <c r="G8" s="430"/>
      <c r="H8" s="430"/>
      <c r="I8" s="430"/>
      <c r="J8" s="430"/>
      <c r="K8" s="430"/>
      <c r="L8" s="430"/>
    </row>
    <row r="9" spans="1:6" ht="39" customHeight="1">
      <c r="A9" s="432" t="s">
        <v>160</v>
      </c>
      <c r="B9" s="433"/>
      <c r="C9" s="433"/>
      <c r="D9" s="433"/>
      <c r="E9" s="434"/>
      <c r="F9" s="435"/>
    </row>
    <row r="10" spans="1:12" ht="39" customHeight="1">
      <c r="A10" s="431" t="s">
        <v>208</v>
      </c>
      <c r="B10" s="158">
        <v>6</v>
      </c>
      <c r="C10" s="421"/>
      <c r="D10" s="421"/>
      <c r="E10" s="420"/>
      <c r="F10" s="429"/>
      <c r="G10" s="430"/>
      <c r="H10" s="430"/>
      <c r="I10" s="430"/>
      <c r="J10" s="430"/>
      <c r="K10" s="430"/>
      <c r="L10" s="430"/>
    </row>
    <row r="11" spans="1:12" ht="39" customHeight="1">
      <c r="A11" s="428" t="s">
        <v>209</v>
      </c>
      <c r="B11" s="158">
        <v>3</v>
      </c>
      <c r="C11" s="421"/>
      <c r="D11" s="421"/>
      <c r="E11" s="420"/>
      <c r="F11" s="429"/>
      <c r="G11" s="430"/>
      <c r="H11" s="430"/>
      <c r="I11" s="430"/>
      <c r="J11" s="430"/>
      <c r="K11" s="430"/>
      <c r="L11" s="430"/>
    </row>
    <row r="12" spans="1:12" ht="39" customHeight="1">
      <c r="A12" s="431" t="s">
        <v>210</v>
      </c>
      <c r="B12" s="158">
        <v>4</v>
      </c>
      <c r="C12" s="421"/>
      <c r="D12" s="421"/>
      <c r="E12" s="420"/>
      <c r="F12" s="429"/>
      <c r="G12" s="430"/>
      <c r="H12" s="430"/>
      <c r="I12" s="430"/>
      <c r="J12" s="430"/>
      <c r="K12" s="430"/>
      <c r="L12" s="430"/>
    </row>
    <row r="13" spans="1:10" ht="39" customHeight="1">
      <c r="A13" s="436" t="s">
        <v>78</v>
      </c>
      <c r="B13" s="419" t="s">
        <v>122</v>
      </c>
      <c r="C13" s="152" t="s">
        <v>300</v>
      </c>
      <c r="D13" s="152" t="s">
        <v>122</v>
      </c>
      <c r="E13" s="419" t="s">
        <v>122</v>
      </c>
      <c r="F13" s="152" t="s">
        <v>122</v>
      </c>
      <c r="G13" s="152" t="s">
        <v>122</v>
      </c>
      <c r="H13" s="152" t="s">
        <v>122</v>
      </c>
      <c r="I13" s="152" t="s">
        <v>122</v>
      </c>
      <c r="J13" s="152" t="s">
        <v>122</v>
      </c>
    </row>
    <row r="14" spans="1:10" ht="38.25" customHeight="1">
      <c r="A14" s="428" t="s">
        <v>63</v>
      </c>
      <c r="B14" s="420">
        <v>1</v>
      </c>
      <c r="C14" s="153" t="e">
        <v>#N/A</v>
      </c>
      <c r="D14" s="150">
        <v>1</v>
      </c>
      <c r="E14" s="420">
        <v>1</v>
      </c>
      <c r="F14" s="150">
        <v>1</v>
      </c>
      <c r="G14" s="150">
        <v>1</v>
      </c>
      <c r="H14" s="150">
        <v>1</v>
      </c>
      <c r="I14" s="150">
        <v>1</v>
      </c>
      <c r="J14" s="153">
        <v>1</v>
      </c>
    </row>
    <row r="15" spans="1:10" ht="30" customHeight="1">
      <c r="A15" s="437" t="s">
        <v>64</v>
      </c>
      <c r="B15" s="420">
        <v>1</v>
      </c>
      <c r="C15" s="153" t="e">
        <v>#N/A</v>
      </c>
      <c r="D15" s="150">
        <v>1</v>
      </c>
      <c r="E15" s="420">
        <v>1</v>
      </c>
      <c r="F15" s="150">
        <v>1</v>
      </c>
      <c r="G15" s="150">
        <v>1</v>
      </c>
      <c r="H15" s="150">
        <v>1</v>
      </c>
      <c r="I15" s="150">
        <v>1</v>
      </c>
      <c r="J15" s="153">
        <v>1</v>
      </c>
    </row>
    <row r="16" spans="1:10" ht="39" customHeight="1">
      <c r="A16" s="436" t="s">
        <v>79</v>
      </c>
      <c r="B16" s="425"/>
      <c r="C16" s="419"/>
      <c r="D16" s="419"/>
      <c r="E16" s="419"/>
      <c r="F16" s="419"/>
      <c r="G16" s="419"/>
      <c r="H16" s="419"/>
      <c r="I16" s="419"/>
      <c r="J16" s="419"/>
    </row>
    <row r="17" spans="1:12" ht="30" customHeight="1">
      <c r="A17" s="428" t="s">
        <v>13</v>
      </c>
      <c r="B17" s="155">
        <v>2</v>
      </c>
      <c r="C17" s="429"/>
      <c r="D17" s="429"/>
      <c r="E17" s="430"/>
      <c r="F17" s="430"/>
      <c r="G17" s="430"/>
      <c r="H17" s="430"/>
      <c r="I17" s="430"/>
      <c r="J17" s="430"/>
      <c r="K17" s="430"/>
      <c r="L17" s="430"/>
    </row>
    <row r="18" spans="1:4" ht="39" customHeight="1">
      <c r="A18" s="436" t="s">
        <v>80</v>
      </c>
      <c r="C18" s="435"/>
      <c r="D18" s="435"/>
    </row>
    <row r="19" spans="1:12" ht="30" customHeight="1">
      <c r="A19" s="428" t="s">
        <v>71</v>
      </c>
      <c r="B19" s="156">
        <v>8</v>
      </c>
      <c r="C19" s="157">
        <v>24</v>
      </c>
      <c r="D19" s="430"/>
      <c r="E19" s="429"/>
      <c r="F19" s="430"/>
      <c r="G19" s="430"/>
      <c r="H19" s="430"/>
      <c r="I19" s="430"/>
      <c r="J19" s="430"/>
      <c r="K19" s="430"/>
      <c r="L19" s="430"/>
    </row>
    <row r="20" spans="1:4" ht="33" customHeight="1">
      <c r="A20" s="436" t="s">
        <v>81</v>
      </c>
      <c r="C20" s="435"/>
      <c r="D20" s="435"/>
    </row>
    <row r="21" spans="1:12" ht="41.25" customHeight="1">
      <c r="A21" s="428" t="s">
        <v>206</v>
      </c>
      <c r="B21" s="165">
        <v>44402000</v>
      </c>
      <c r="C21" s="429"/>
      <c r="D21" s="429"/>
      <c r="E21" s="430"/>
      <c r="F21" s="430"/>
      <c r="G21" s="430"/>
      <c r="H21" s="430"/>
      <c r="I21" s="430"/>
      <c r="J21" s="430"/>
      <c r="K21" s="430"/>
      <c r="L21" s="430"/>
    </row>
    <row r="22" spans="1:12" ht="41.25" customHeight="1">
      <c r="A22" s="428" t="s">
        <v>110</v>
      </c>
      <c r="B22" s="166">
        <v>0.039</v>
      </c>
      <c r="C22" s="429"/>
      <c r="D22" s="429"/>
      <c r="E22" s="430"/>
      <c r="F22" s="430"/>
      <c r="G22" s="430"/>
      <c r="H22" s="430"/>
      <c r="I22" s="430"/>
      <c r="J22" s="430"/>
      <c r="K22" s="430"/>
      <c r="L22" s="430"/>
    </row>
    <row r="23" spans="1:12" ht="27" customHeight="1">
      <c r="A23" s="458" t="s">
        <v>207</v>
      </c>
      <c r="B23" s="438" t="s">
        <v>216</v>
      </c>
      <c r="C23" s="160">
        <v>2</v>
      </c>
      <c r="D23" s="429"/>
      <c r="E23" s="430"/>
      <c r="F23" s="430"/>
      <c r="G23" s="430"/>
      <c r="H23" s="430"/>
      <c r="I23" s="430"/>
      <c r="J23" s="430"/>
      <c r="K23" s="430"/>
      <c r="L23" s="430"/>
    </row>
    <row r="24" spans="1:12" ht="27" customHeight="1">
      <c r="A24" s="458"/>
      <c r="B24" s="438" t="s">
        <v>217</v>
      </c>
      <c r="C24" s="160">
        <v>3</v>
      </c>
      <c r="D24" s="429"/>
      <c r="E24" s="430"/>
      <c r="F24" s="430"/>
      <c r="G24" s="430"/>
      <c r="H24" s="430"/>
      <c r="I24" s="430"/>
      <c r="J24" s="430"/>
      <c r="K24" s="430"/>
      <c r="L24" s="430"/>
    </row>
    <row r="25" ht="12.75"/>
    <row r="26" ht="12.75"/>
    <row r="27" ht="12.75"/>
    <row r="28" ht="12.75"/>
    <row r="29" ht="12.75"/>
    <row r="30" ht="12.75"/>
    <row r="31" ht="12.75"/>
  </sheetData>
  <sheetProtection/>
  <mergeCells count="1">
    <mergeCell ref="A23:A24"/>
  </mergeCells>
  <dataValidations count="1">
    <dataValidation type="whole" operator="greaterThanOrEqual" allowBlank="1" showInputMessage="1" showErrorMessage="1" promptTitle="Total costs" prompt="Provide an estimate of the expected total costs to reach closure, assuming the alternative being evaluated is implemented" error="Costs must be entered as a number greater than or equal to 0." sqref="B21">
      <formula1>0</formula1>
    </dataValidation>
  </dataValidations>
  <printOptions/>
  <pageMargins left="0.75" right="0.75" top="1" bottom="1" header="0.5" footer="0.5"/>
  <pageSetup fitToHeight="1" fitToWidth="1" horizontalDpi="600" verticalDpi="600" orientation="landscape" scale="32" r:id="rId4"/>
  <drawing r:id="rId3"/>
  <legacyDrawing r:id="rId2"/>
</worksheet>
</file>

<file path=xl/worksheets/sheet4.xml><?xml version="1.0" encoding="utf-8"?>
<worksheet xmlns="http://schemas.openxmlformats.org/spreadsheetml/2006/main" xmlns:r="http://schemas.openxmlformats.org/officeDocument/2006/relationships">
  <sheetPr codeName="Sheet11">
    <tabColor indexed="42"/>
    <pageSetUpPr fitToPage="1"/>
  </sheetPr>
  <dimension ref="A1:AB69"/>
  <sheetViews>
    <sheetView showGridLines="0" workbookViewId="0" topLeftCell="A1">
      <pane xSplit="1" ySplit="2" topLeftCell="B3" activePane="bottomRight" state="frozen"/>
      <selection pane="topLeft" activeCell="B7" sqref="B7"/>
      <selection pane="topRight" activeCell="B7" sqref="B7"/>
      <selection pane="bottomLeft" activeCell="B7" sqref="B7"/>
      <selection pane="bottomRight" activeCell="A2" sqref="A2"/>
    </sheetView>
  </sheetViews>
  <sheetFormatPr defaultColWidth="9.140625" defaultRowHeight="12.75" zeroHeight="1"/>
  <cols>
    <col min="1" max="1" width="35.140625" style="273" customWidth="1"/>
    <col min="2" max="2" width="16.00390625" style="13" customWidth="1"/>
    <col min="3" max="21" width="15.7109375" style="13" customWidth="1"/>
    <col min="22" max="24" width="9.140625" style="13" customWidth="1"/>
    <col min="25" max="26" width="9.140625" style="13" hidden="1" customWidth="1"/>
    <col min="27" max="27" width="11.57421875" style="13" hidden="1" customWidth="1"/>
    <col min="28" max="16384" width="9.140625" style="13" hidden="1" customWidth="1"/>
  </cols>
  <sheetData>
    <row r="1" spans="1:21" ht="12.75" hidden="1">
      <c r="A1" s="402"/>
      <c r="B1" s="13">
        <v>1</v>
      </c>
      <c r="C1" s="13">
        <v>2</v>
      </c>
      <c r="D1" s="13">
        <v>3</v>
      </c>
      <c r="E1" s="13">
        <v>4</v>
      </c>
      <c r="F1" s="13">
        <v>5</v>
      </c>
      <c r="G1" s="13">
        <v>6</v>
      </c>
      <c r="H1" s="13">
        <v>7</v>
      </c>
      <c r="I1" s="13">
        <v>8</v>
      </c>
      <c r="J1" s="13">
        <v>9</v>
      </c>
      <c r="K1" s="13">
        <v>10</v>
      </c>
      <c r="L1" s="13">
        <v>11</v>
      </c>
      <c r="M1" s="13">
        <v>12</v>
      </c>
      <c r="N1" s="13">
        <v>13</v>
      </c>
      <c r="O1" s="13">
        <v>14</v>
      </c>
      <c r="P1" s="13">
        <v>15</v>
      </c>
      <c r="Q1" s="13">
        <v>16</v>
      </c>
      <c r="R1" s="13">
        <v>17</v>
      </c>
      <c r="S1" s="13">
        <v>18</v>
      </c>
      <c r="T1" s="13">
        <v>19</v>
      </c>
      <c r="U1" s="13">
        <v>20</v>
      </c>
    </row>
    <row r="2" spans="1:27" s="268" customFormat="1" ht="119.25" customHeight="1" thickBot="1">
      <c r="A2" s="403" t="s">
        <v>171</v>
      </c>
      <c r="B2" s="270" t="str">
        <f>IF(B1&lt;=Num_alternatives,INDEX(Alternatives!$B5:$B24,'Consequence table'!B1),"")</f>
        <v>No action</v>
      </c>
      <c r="C2" s="270" t="str">
        <f>IF(C1&lt;=Num_alternatives,INDEX(Alternatives!$B5:$B24,'Consequence table'!C1),"")</f>
        <v>MNA in MAAZ &amp; LLAZ</v>
      </c>
      <c r="D2" s="270" t="str">
        <f>IF(D1&lt;=Num_alternatives,INDEX(Alternatives!$B5:$B24,'Consequence table'!D1),"")</f>
        <v>Operate existing gw recirc wells to 50 ug/L; MNA in residual</v>
      </c>
      <c r="E2" s="270" t="str">
        <f>IF(E1&lt;=Num_alternatives,INDEX(Alternatives!$B5:$B24,'Consequence table'!E1),"")</f>
        <v>GW recirc in LLAZ to 50 ug/L; MNA in MAAZ</v>
      </c>
      <c r="F2" s="270" t="str">
        <f>IF(F1&lt;=Num_alternatives,INDEX(Alternatives!$B5:$B24,'Consequence table'!F1),"")</f>
        <v>ChemOx in LLAZ to 50 ug/L; MNA in MAAZ</v>
      </c>
      <c r="G2" s="270" t="str">
        <f>IF(G1&lt;=Num_alternatives,INDEX(Alternatives!$B5:$B24,'Consequence table'!G1),"")</f>
        <v>PRB in LLAZ to 50 ug/L; MNA in MAAZ</v>
      </c>
      <c r="H2" s="270" t="str">
        <f>IF(H1&lt;=Num_alternatives,INDEX(Alternatives!$B5:$B24,'Consequence table'!H1),"")</f>
        <v>GW recirc in LLAZ &amp; MAAZ to 50 ug/L</v>
      </c>
      <c r="I2" s="270" t="str">
        <f>IF(I1&lt;=Num_alternatives,INDEX(Alternatives!$B5:$B24,'Consequence table'!I1),"")</f>
        <v>ChemOx in LLAZ to 50 ug/L; GW recirc in MAAZ to 50 ug/L</v>
      </c>
      <c r="J2" s="270" t="str">
        <f>IF(J1&lt;=Num_alternatives,INDEX(Alternatives!$B5:$B24,'Consequence table'!J1),"")</f>
        <v>PRB in LLAZ to 50 ug/L; GW recirc in MAAZ to 50 ug/L</v>
      </c>
      <c r="K2" s="270">
        <f>IF(K1&lt;=Num_alternatives,INDEX(Alternatives!$B5:$B24,'Consequence table'!K1),"")</f>
      </c>
      <c r="L2" s="270">
        <f>IF(L1&lt;=Num_alternatives,INDEX(Alternatives!$B5:$B24,'Consequence table'!L1),"")</f>
      </c>
      <c r="M2" s="270">
        <f>IF(M1&lt;=Num_alternatives,INDEX(Alternatives!$B5:$B24,'Consequence table'!M1),"")</f>
      </c>
      <c r="N2" s="270">
        <f>IF(N1&lt;=Num_alternatives,INDEX(Alternatives!$B5:$B24,'Consequence table'!N1),"")</f>
      </c>
      <c r="O2" s="270">
        <f>IF(O1&lt;=Num_alternatives,INDEX(Alternatives!$B5:$B24,'Consequence table'!O1),"")</f>
      </c>
      <c r="P2" s="270">
        <f>IF(P1&lt;=Num_alternatives,INDEX(Alternatives!$B5:$B24,'Consequence table'!P1),"")</f>
      </c>
      <c r="Q2" s="270">
        <f>IF(Q1&lt;=Num_alternatives,INDEX(Alternatives!$B5:$B24,'Consequence table'!Q1),"")</f>
      </c>
      <c r="R2" s="270">
        <f>IF(R1&lt;=Num_alternatives,INDEX(Alternatives!$B5:$B24,'Consequence table'!R1),"")</f>
      </c>
      <c r="S2" s="270">
        <f>IF(S1&lt;=Num_alternatives,INDEX(Alternatives!$B5:$B24,'Consequence table'!S1),"")</f>
      </c>
      <c r="T2" s="270">
        <f>IF(T1&lt;=Num_alternatives,INDEX(Alternatives!$B5:$B24,'Consequence table'!T1),"")</f>
      </c>
      <c r="U2" s="270">
        <f>IF(U1&lt;=Num_alternatives,INDEX(Alternatives!$B5:$B24,'Consequence table'!U1),"")</f>
      </c>
      <c r="AA2" s="268" t="s">
        <v>128</v>
      </c>
    </row>
    <row r="3" spans="1:28" ht="13.5" thickBot="1">
      <c r="A3" s="404" t="s">
        <v>294</v>
      </c>
      <c r="B3" s="271">
        <f>IF(B$1&lt;=Num_alternatives,IF(INDEX(Inputs_matrix,B$1,'Consequence table'!$AA3)&gt;8,INDEX(Inputs_matrix,B$1,$AA3),INDEX('Scaling Functions'!$B126:$B131,INDEX(Inputs_matrix,B$1,'Consequence table'!$AA3))),"NA")</f>
        <v>43</v>
      </c>
      <c r="C3" s="271">
        <f>IF(C$1&lt;=Num_alternatives,IF(INDEX(Inputs_matrix,C$1,'Consequence table'!$AA3)&gt;8,INDEX(Inputs_matrix,C$1,$AA3),INDEX('Scaling Functions'!$B126:$B131,INDEX(Inputs_matrix,C$1,'Consequence table'!$AA3))),"NA")</f>
        <v>43</v>
      </c>
      <c r="D3" s="271">
        <f>IF(D$1&lt;=Num_alternatives,IF(INDEX(Inputs_matrix,D$1,'Consequence table'!$AA3)&gt;8,INDEX(Inputs_matrix,D$1,$AA3),INDEX('Scaling Functions'!$B126:$B131,INDEX(Inputs_matrix,D$1,'Consequence table'!$AA3))),"NA")</f>
        <v>30</v>
      </c>
      <c r="E3" s="271">
        <f>IF(E$1&lt;=Num_alternatives,IF(INDEX(Inputs_matrix,E$1,'Consequence table'!$AA3)&gt;8,INDEX(Inputs_matrix,E$1,$AA3),INDEX('Scaling Functions'!$B126:$B131,INDEX(Inputs_matrix,E$1,'Consequence table'!$AA3))),"NA")</f>
        <v>30</v>
      </c>
      <c r="F3" s="271">
        <f>IF(F$1&lt;=Num_alternatives,IF(INDEX(Inputs_matrix,F$1,'Consequence table'!$AA3)&gt;8,INDEX(Inputs_matrix,F$1,$AA3),INDEX('Scaling Functions'!$B126:$B131,INDEX(Inputs_matrix,F$1,'Consequence table'!$AA3))),"NA")</f>
        <v>25</v>
      </c>
      <c r="G3" s="271">
        <f>IF(G$1&lt;=Num_alternatives,IF(INDEX(Inputs_matrix,G$1,'Consequence table'!$AA3)&gt;8,INDEX(Inputs_matrix,G$1,$AA3),INDEX('Scaling Functions'!$B126:$B131,INDEX(Inputs_matrix,G$1,'Consequence table'!$AA3))),"NA")</f>
        <v>25</v>
      </c>
      <c r="H3" s="271">
        <f>IF(H$1&lt;=Num_alternatives,IF(INDEX(Inputs_matrix,H$1,'Consequence table'!$AA3)&gt;8,INDEX(Inputs_matrix,H$1,$AA3),INDEX('Scaling Functions'!$B126:$B131,INDEX(Inputs_matrix,H$1,'Consequence table'!$AA3))),"NA")</f>
        <v>27</v>
      </c>
      <c r="I3" s="271">
        <f>IF(I$1&lt;=Num_alternatives,IF(INDEX(Inputs_matrix,I$1,'Consequence table'!$AA3)&gt;8,INDEX(Inputs_matrix,I$1,$AA3),INDEX('Scaling Functions'!$B126:$B131,INDEX(Inputs_matrix,I$1,'Consequence table'!$AA3))),"NA")</f>
        <v>24</v>
      </c>
      <c r="J3" s="271">
        <f>IF(J$1&lt;=Num_alternatives,IF(INDEX(Inputs_matrix,J$1,'Consequence table'!$AA3)&gt;8,INDEX(Inputs_matrix,J$1,$AA3),INDEX('Scaling Functions'!$B126:$B131,INDEX(Inputs_matrix,J$1,'Consequence table'!$AA3))),"NA")</f>
        <v>24</v>
      </c>
      <c r="K3" s="271" t="str">
        <f>IF(K$1&lt;=Num_alternatives,IF(INDEX(Inputs_matrix,K$1,'Consequence table'!$AA3)&gt;8,INDEX(Inputs_matrix,K$1,$AA3),INDEX('Scaling Functions'!$B126:$B131,INDEX(Inputs_matrix,K$1,'Consequence table'!$AA3))),"NA")</f>
        <v>NA</v>
      </c>
      <c r="L3" s="271" t="str">
        <f>IF(L$1&lt;=Num_alternatives,IF(INDEX(Inputs_matrix,L$1,'Consequence table'!$AA3)&gt;8,INDEX(Inputs_matrix,L$1,$AA3),INDEX('Scaling Functions'!$B126:$B131,INDEX(Inputs_matrix,L$1,'Consequence table'!$AA3))),"NA")</f>
        <v>NA</v>
      </c>
      <c r="M3" s="271" t="str">
        <f>IF(M$1&lt;=Num_alternatives,IF(INDEX(Inputs_matrix,M$1,'Consequence table'!$AA3)&gt;8,INDEX(Inputs_matrix,M$1,$AA3),INDEX('Scaling Functions'!$B126:$B131,INDEX(Inputs_matrix,M$1,'Consequence table'!$AA3))),"NA")</f>
        <v>NA</v>
      </c>
      <c r="N3" s="271" t="str">
        <f>IF(N$1&lt;=Num_alternatives,IF(INDEX(Inputs_matrix,N$1,'Consequence table'!$AA3)&gt;8,INDEX(Inputs_matrix,N$1,$AA3),INDEX('Scaling Functions'!$B126:$B131,INDEX(Inputs_matrix,N$1,'Consequence table'!$AA3))),"NA")</f>
        <v>NA</v>
      </c>
      <c r="O3" s="271" t="str">
        <f>IF(O$1&lt;=Num_alternatives,IF(INDEX(Inputs_matrix,O$1,'Consequence table'!$AA3)&gt;8,INDEX(Inputs_matrix,O$1,$AA3),INDEX('Scaling Functions'!$B126:$B131,INDEX(Inputs_matrix,O$1,'Consequence table'!$AA3))),"NA")</f>
        <v>NA</v>
      </c>
      <c r="P3" s="271" t="str">
        <f>IF(P$1&lt;=Num_alternatives,IF(INDEX(Inputs_matrix,P$1,'Consequence table'!$AA3)&gt;8,INDEX(Inputs_matrix,P$1,$AA3),INDEX('Scaling Functions'!$B126:$B131,INDEX(Inputs_matrix,P$1,'Consequence table'!$AA3))),"NA")</f>
        <v>NA</v>
      </c>
      <c r="Q3" s="271" t="str">
        <f>IF(Q$1&lt;=Num_alternatives,IF(INDEX(Inputs_matrix,Q$1,'Consequence table'!$AA3)&gt;8,INDEX(Inputs_matrix,Q$1,$AA3),INDEX('Scaling Functions'!$B126:$B131,INDEX(Inputs_matrix,Q$1,'Consequence table'!$AA3))),"NA")</f>
        <v>NA</v>
      </c>
      <c r="R3" s="271" t="str">
        <f>IF(R$1&lt;=Num_alternatives,IF(INDEX(Inputs_matrix,R$1,'Consequence table'!$AA3)&gt;8,INDEX(Inputs_matrix,R$1,$AA3),INDEX('Scaling Functions'!$B126:$B131,INDEX(Inputs_matrix,R$1,'Consequence table'!$AA3))),"NA")</f>
        <v>NA</v>
      </c>
      <c r="S3" s="271" t="str">
        <f>IF(S$1&lt;=Num_alternatives,IF(INDEX(Inputs_matrix,S$1,'Consequence table'!$AA3)&gt;8,INDEX(Inputs_matrix,S$1,$AA3),INDEX('Scaling Functions'!$B126:$B131,INDEX(Inputs_matrix,S$1,'Consequence table'!$AA3))),"NA")</f>
        <v>NA</v>
      </c>
      <c r="T3" s="271" t="str">
        <f>IF(T$1&lt;=Num_alternatives,IF(INDEX(Inputs_matrix,T$1,'Consequence table'!$AA3)&gt;8,INDEX(Inputs_matrix,T$1,$AA3),INDEX('Scaling Functions'!$B126:$B131,INDEX(Inputs_matrix,T$1,'Consequence table'!$AA3))),"NA")</f>
        <v>NA</v>
      </c>
      <c r="U3" s="272" t="str">
        <f>IF(U$1&lt;=Num_alternatives,IF(INDEX(Inputs_matrix,U$1,'Consequence table'!$AA3)&gt;8,INDEX(Inputs_matrix,U$1,$AA3),INDEX('Scaling Functions'!$B126:$B131,INDEX(Inputs_matrix,U$1,'Consequence table'!$AA3))),"NA")</f>
        <v>NA</v>
      </c>
      <c r="AA3" s="13">
        <v>43</v>
      </c>
      <c r="AB3" s="13">
        <v>44</v>
      </c>
    </row>
    <row r="4" spans="1:21" ht="12.75">
      <c r="A4" s="405" t="s">
        <v>129</v>
      </c>
      <c r="B4" s="278"/>
      <c r="C4" s="278"/>
      <c r="D4" s="278"/>
      <c r="E4" s="278"/>
      <c r="F4" s="278"/>
      <c r="G4" s="278"/>
      <c r="H4" s="278"/>
      <c r="I4" s="278"/>
      <c r="J4" s="278"/>
      <c r="K4" s="278"/>
      <c r="L4" s="278"/>
      <c r="M4" s="278"/>
      <c r="N4" s="278"/>
      <c r="O4" s="278"/>
      <c r="P4" s="278"/>
      <c r="Q4" s="278"/>
      <c r="R4" s="278"/>
      <c r="S4" s="278"/>
      <c r="T4" s="278"/>
      <c r="U4" s="279"/>
    </row>
    <row r="5" spans="1:27" ht="25.5" customHeight="1">
      <c r="A5" s="406" t="s">
        <v>284</v>
      </c>
      <c r="B5" s="274">
        <f>IF(B$1&lt;=Num_alternatives,INDEX(Inputs_matrix,B$1,'Consequence table'!$AA5),"NA")</f>
        <v>0</v>
      </c>
      <c r="C5" s="274">
        <f>IF(C$1&lt;=Num_alternatives,INDEX(Inputs_matrix,C$1,'Consequence table'!$AA5),"NA")</f>
        <v>3408000</v>
      </c>
      <c r="D5" s="274">
        <f>IF(D$1&lt;=Num_alternatives,INDEX(Inputs_matrix,D$1,'Consequence table'!$AA5),"NA")</f>
        <v>5413000</v>
      </c>
      <c r="E5" s="274">
        <f>IF(E$1&lt;=Num_alternatives,INDEX(Inputs_matrix,E$1,'Consequence table'!$AA5),"NA")</f>
        <v>7229000</v>
      </c>
      <c r="F5" s="274">
        <f>IF(F$1&lt;=Num_alternatives,INDEX(Inputs_matrix,F$1,'Consequence table'!$AA5),"NA")</f>
        <v>9721000</v>
      </c>
      <c r="G5" s="274">
        <f>IF(G$1&lt;=Num_alternatives,INDEX(Inputs_matrix,G$1,'Consequence table'!$AA5),"NA")</f>
        <v>42321000</v>
      </c>
      <c r="H5" s="274">
        <f>IF(H$1&lt;=Num_alternatives,INDEX(Inputs_matrix,H$1,'Consequence table'!$AA5),"NA")</f>
        <v>8830000</v>
      </c>
      <c r="I5" s="274">
        <f>IF(I$1&lt;=Num_alternatives,INDEX(Inputs_matrix,I$1,'Consequence table'!$AA5),"NA")</f>
        <v>11019000</v>
      </c>
      <c r="J5" s="274">
        <f>IF(J$1&lt;=Num_alternatives,INDEX(Inputs_matrix,J$1,'Consequence table'!$AA5),"NA")</f>
        <v>44402000</v>
      </c>
      <c r="K5" s="274" t="str">
        <f>IF(K$1&lt;=Num_alternatives,INDEX(Inputs_matrix,K$1,'Consequence table'!$AA5),"NA")</f>
        <v>NA</v>
      </c>
      <c r="L5" s="274" t="str">
        <f>IF(L$1&lt;=Num_alternatives,INDEX(Inputs_matrix,L$1,'Consequence table'!$AA5),"NA")</f>
        <v>NA</v>
      </c>
      <c r="M5" s="274" t="str">
        <f>IF(M$1&lt;=Num_alternatives,INDEX(Inputs_matrix,M$1,'Consequence table'!$AA5),"NA")</f>
        <v>NA</v>
      </c>
      <c r="N5" s="274" t="str">
        <f>IF(N$1&lt;=Num_alternatives,INDEX(Inputs_matrix,N$1,'Consequence table'!$AA5),"NA")</f>
        <v>NA</v>
      </c>
      <c r="O5" s="274" t="str">
        <f>IF(O$1&lt;=Num_alternatives,INDEX(Inputs_matrix,O$1,'Consequence table'!$AA5),"NA")</f>
        <v>NA</v>
      </c>
      <c r="P5" s="274" t="str">
        <f>IF(P$1&lt;=Num_alternatives,INDEX(Inputs_matrix,P$1,'Consequence table'!$AA5),"NA")</f>
        <v>NA</v>
      </c>
      <c r="Q5" s="274" t="str">
        <f>IF(Q$1&lt;=Num_alternatives,INDEX(Inputs_matrix,Q$1,'Consequence table'!$AA5),"NA")</f>
        <v>NA</v>
      </c>
      <c r="R5" s="274" t="str">
        <f>IF(R$1&lt;=Num_alternatives,INDEX(Inputs_matrix,R$1,'Consequence table'!$AA5),"NA")</f>
        <v>NA</v>
      </c>
      <c r="S5" s="274" t="str">
        <f>IF(S$1&lt;=Num_alternatives,INDEX(Inputs_matrix,S$1,'Consequence table'!$AA5),"NA")</f>
        <v>NA</v>
      </c>
      <c r="T5" s="274" t="str">
        <f>IF(T$1&lt;=Num_alternatives,INDEX(Inputs_matrix,T$1,'Consequence table'!$AA5),"NA")</f>
        <v>NA</v>
      </c>
      <c r="U5" s="275" t="str">
        <f>IF(U$1&lt;=Num_alternatives,INDEX(Inputs_matrix,U$1,'Consequence table'!$AA5),"NA")</f>
        <v>NA</v>
      </c>
      <c r="AA5" s="13">
        <v>44</v>
      </c>
    </row>
    <row r="6" spans="1:27" ht="25.5" customHeight="1">
      <c r="A6" s="406" t="s">
        <v>248</v>
      </c>
      <c r="B6" s="274">
        <f>IF(B$1&lt;=Num_alternatives,INDEX('Scaling Functions'!$D136:$D139,INDEX(Inputs_matrix,B$1,$AA6))*B5,"NA")</f>
        <v>0</v>
      </c>
      <c r="C6" s="274">
        <f>IF(C$1&lt;=Num_alternatives,INDEX('Scaling Functions'!$D136:$D139,INDEX(Inputs_matrix,C$1,$AA6))*C5,"NA")</f>
        <v>2556000</v>
      </c>
      <c r="D6" s="274">
        <f>IF(D$1&lt;=Num_alternatives,INDEX('Scaling Functions'!$D136:$D139,INDEX(Inputs_matrix,D$1,$AA6))*D5,"NA")</f>
        <v>4059750</v>
      </c>
      <c r="E6" s="274">
        <f>IF(E$1&lt;=Num_alternatives,INDEX('Scaling Functions'!$D136:$D139,INDEX(Inputs_matrix,E$1,$AA6))*E5,"NA")</f>
        <v>5421750</v>
      </c>
      <c r="F6" s="274">
        <f>IF(F$1&lt;=Num_alternatives,INDEX('Scaling Functions'!$D136:$D139,INDEX(Inputs_matrix,F$1,$AA6))*F5,"NA")</f>
        <v>7290750</v>
      </c>
      <c r="G6" s="274">
        <f>IF(G$1&lt;=Num_alternatives,INDEX('Scaling Functions'!$D136:$D139,INDEX(Inputs_matrix,G$1,$AA6))*G5,"NA")</f>
        <v>38088900</v>
      </c>
      <c r="H6" s="274">
        <f>IF(H$1&lt;=Num_alternatives,INDEX('Scaling Functions'!$D136:$D139,INDEX(Inputs_matrix,H$1,$AA6))*H5,"NA")</f>
        <v>6622500</v>
      </c>
      <c r="I6" s="274">
        <f>IF(I$1&lt;=Num_alternatives,INDEX('Scaling Functions'!$D136:$D139,INDEX(Inputs_matrix,I$1,$AA6))*I5,"NA")</f>
        <v>8264250</v>
      </c>
      <c r="J6" s="274">
        <f>IF(J$1&lt;=Num_alternatives,INDEX('Scaling Functions'!$D136:$D139,INDEX(Inputs_matrix,J$1,$AA6))*J5,"NA")</f>
        <v>39961800</v>
      </c>
      <c r="K6" s="274" t="str">
        <f>IF(K$1&lt;=Num_alternatives,INDEX('Scaling Functions'!$D136:$D139,INDEX(Inputs_matrix,K$1,$AA6))*K5,"NA")</f>
        <v>NA</v>
      </c>
      <c r="L6" s="274" t="str">
        <f>IF(L$1&lt;=Num_alternatives,INDEX('Scaling Functions'!$D136:$D139,INDEX(Inputs_matrix,L$1,$AA6))*L5,"NA")</f>
        <v>NA</v>
      </c>
      <c r="M6" s="274" t="str">
        <f>IF(M$1&lt;=Num_alternatives,INDEX('Scaling Functions'!$D136:$D139,INDEX(Inputs_matrix,M$1,$AA6))*M5,"NA")</f>
        <v>NA</v>
      </c>
      <c r="N6" s="274" t="str">
        <f>IF(N$1&lt;=Num_alternatives,INDEX('Scaling Functions'!$D136:$D139,INDEX(Inputs_matrix,N$1,$AA6))*N5,"NA")</f>
        <v>NA</v>
      </c>
      <c r="O6" s="274" t="str">
        <f>IF(O$1&lt;=Num_alternatives,INDEX('Scaling Functions'!$D136:$D139,INDEX(Inputs_matrix,O$1,$AA6))*O5,"NA")</f>
        <v>NA</v>
      </c>
      <c r="P6" s="274" t="str">
        <f>IF(P$1&lt;=Num_alternatives,INDEX('Scaling Functions'!$D136:$D139,INDEX(Inputs_matrix,P$1,$AA6))*P5,"NA")</f>
        <v>NA</v>
      </c>
      <c r="Q6" s="274" t="str">
        <f>IF(Q$1&lt;=Num_alternatives,INDEX('Scaling Functions'!$D136:$D139,INDEX(Inputs_matrix,Q$1,$AA6))*Q5,"NA")</f>
        <v>NA</v>
      </c>
      <c r="R6" s="274" t="str">
        <f>IF(R$1&lt;=Num_alternatives,INDEX('Scaling Functions'!$D136:$D139,INDEX(Inputs_matrix,R$1,$AA6))*R5,"NA")</f>
        <v>NA</v>
      </c>
      <c r="S6" s="274" t="str">
        <f>IF(S$1&lt;=Num_alternatives,INDEX('Scaling Functions'!$D136:$D139,INDEX(Inputs_matrix,S$1,$AA6))*S5,"NA")</f>
        <v>NA</v>
      </c>
      <c r="T6" s="274" t="str">
        <f>IF(T$1&lt;=Num_alternatives,INDEX('Scaling Functions'!$D136:$D139,INDEX(Inputs_matrix,T$1,$AA6))*T5,"NA")</f>
        <v>NA</v>
      </c>
      <c r="U6" s="275" t="str">
        <f>IF(U$1&lt;=Num_alternatives,INDEX('Scaling Functions'!$D136:$D139,INDEX(Inputs_matrix,U$1,$AA6))*U5,"NA")</f>
        <v>NA</v>
      </c>
      <c r="AA6" s="13">
        <v>46</v>
      </c>
    </row>
    <row r="7" spans="1:27" s="269" customFormat="1" ht="25.5" customHeight="1" thickBot="1">
      <c r="A7" s="407" t="s">
        <v>283</v>
      </c>
      <c r="B7" s="276">
        <f>IF(B$1&lt;=Num_alternatives,INDEX('Scaling Functions'!$D143:$D148,INDEX(Inputs_matrix,B$1,'Consequence table'!$AA7))*'Consequence table'!B5,"NA")</f>
        <v>0</v>
      </c>
      <c r="C7" s="276">
        <f>IF(C$1&lt;=Num_alternatives,INDEX('Scaling Functions'!$D143:$D148,INDEX(Inputs_matrix,C$1,'Consequence table'!$AA7))*'Consequence table'!C5,"NA")</f>
        <v>5112000</v>
      </c>
      <c r="D7" s="276">
        <f>IF(D$1&lt;=Num_alternatives,INDEX('Scaling Functions'!$D143:$D148,INDEX(Inputs_matrix,D$1,'Consequence table'!$AA7))*'Consequence table'!D5,"NA")</f>
        <v>8119500</v>
      </c>
      <c r="E7" s="276">
        <f>IF(E$1&lt;=Num_alternatives,INDEX('Scaling Functions'!$D143:$D148,INDEX(Inputs_matrix,E$1,'Consequence table'!$AA7))*'Consequence table'!E5,"NA")</f>
        <v>10843500</v>
      </c>
      <c r="F7" s="276">
        <f>IF(F$1&lt;=Num_alternatives,INDEX('Scaling Functions'!$D143:$D148,INDEX(Inputs_matrix,F$1,'Consequence table'!$AA7))*'Consequence table'!F5,"NA")</f>
        <v>19442000</v>
      </c>
      <c r="G7" s="276">
        <f>IF(G$1&lt;=Num_alternatives,INDEX('Scaling Functions'!$D143:$D148,INDEX(Inputs_matrix,G$1,'Consequence table'!$AA7))*'Consequence table'!G5,"NA")</f>
        <v>52901250</v>
      </c>
      <c r="H7" s="276">
        <f>IF(H$1&lt;=Num_alternatives,INDEX('Scaling Functions'!$D143:$D148,INDEX(Inputs_matrix,H$1,'Consequence table'!$AA7))*'Consequence table'!H5,"NA")</f>
        <v>13245000</v>
      </c>
      <c r="I7" s="276">
        <f>IF(I$1&lt;=Num_alternatives,INDEX('Scaling Functions'!$D143:$D148,INDEX(Inputs_matrix,I$1,'Consequence table'!$AA7))*'Consequence table'!I5,"NA")</f>
        <v>22038000</v>
      </c>
      <c r="J7" s="276">
        <f>IF(J$1&lt;=Num_alternatives,INDEX('Scaling Functions'!$D143:$D148,INDEX(Inputs_matrix,J$1,'Consequence table'!$AA7))*'Consequence table'!J5,"NA")</f>
        <v>55502500</v>
      </c>
      <c r="K7" s="276" t="str">
        <f>IF(K$1&lt;=Num_alternatives,INDEX('Scaling Functions'!$D143:$D148,INDEX(Inputs_matrix,K$1,'Consequence table'!$AA7))*'Consequence table'!K5,"NA")</f>
        <v>NA</v>
      </c>
      <c r="L7" s="276" t="str">
        <f>IF(L$1&lt;=Num_alternatives,INDEX('Scaling Functions'!$D143:$D148,INDEX(Inputs_matrix,L$1,'Consequence table'!$AA7))*'Consequence table'!L5,"NA")</f>
        <v>NA</v>
      </c>
      <c r="M7" s="276" t="str">
        <f>IF(M$1&lt;=Num_alternatives,INDEX('Scaling Functions'!$D143:$D148,INDEX(Inputs_matrix,M$1,'Consequence table'!$AA7))*'Consequence table'!M5,"NA")</f>
        <v>NA</v>
      </c>
      <c r="N7" s="276" t="str">
        <f>IF(N$1&lt;=Num_alternatives,INDEX('Scaling Functions'!$D143:$D148,INDEX(Inputs_matrix,N$1,'Consequence table'!$AA7))*'Consequence table'!N5,"NA")</f>
        <v>NA</v>
      </c>
      <c r="O7" s="276" t="str">
        <f>IF(O$1&lt;=Num_alternatives,INDEX('Scaling Functions'!$D143:$D148,INDEX(Inputs_matrix,O$1,'Consequence table'!$AA7))*'Consequence table'!O5,"NA")</f>
        <v>NA</v>
      </c>
      <c r="P7" s="276" t="str">
        <f>IF(P$1&lt;=Num_alternatives,INDEX('Scaling Functions'!$D143:$D148,INDEX(Inputs_matrix,P$1,'Consequence table'!$AA7))*'Consequence table'!P5,"NA")</f>
        <v>NA</v>
      </c>
      <c r="Q7" s="276" t="str">
        <f>IF(Q$1&lt;=Num_alternatives,INDEX('Scaling Functions'!$D143:$D148,INDEX(Inputs_matrix,Q$1,'Consequence table'!$AA7))*'Consequence table'!Q5,"NA")</f>
        <v>NA</v>
      </c>
      <c r="R7" s="276" t="str">
        <f>IF(R$1&lt;=Num_alternatives,INDEX('Scaling Functions'!$D143:$D148,INDEX(Inputs_matrix,R$1,'Consequence table'!$AA7))*'Consequence table'!R5,"NA")</f>
        <v>NA</v>
      </c>
      <c r="S7" s="276" t="str">
        <f>IF(S$1&lt;=Num_alternatives,INDEX('Scaling Functions'!$D143:$D148,INDEX(Inputs_matrix,S$1,'Consequence table'!$AA7))*'Consequence table'!S5,"NA")</f>
        <v>NA</v>
      </c>
      <c r="T7" s="276" t="str">
        <f>IF(T$1&lt;=Num_alternatives,INDEX('Scaling Functions'!$D143:$D148,INDEX(Inputs_matrix,T$1,'Consequence table'!$AA7))*'Consequence table'!T5,"NA")</f>
        <v>NA</v>
      </c>
      <c r="U7" s="277" t="str">
        <f>IF(U$1&lt;=Num_alternatives,INDEX('Scaling Functions'!$D143:$D148,INDEX(Inputs_matrix,U$1,'Consequence table'!$AA7))*'Consequence table'!U5,"NA")</f>
        <v>NA</v>
      </c>
      <c r="V7" s="399"/>
      <c r="W7" s="45"/>
      <c r="X7" s="45"/>
      <c r="AA7" s="269">
        <v>47</v>
      </c>
    </row>
    <row r="8" spans="1:24" ht="12.75">
      <c r="A8" s="405" t="s">
        <v>139</v>
      </c>
      <c r="B8" s="278"/>
      <c r="C8" s="278"/>
      <c r="D8" s="278"/>
      <c r="E8" s="278"/>
      <c r="F8" s="278"/>
      <c r="G8" s="278"/>
      <c r="H8" s="278"/>
      <c r="I8" s="278"/>
      <c r="J8" s="278"/>
      <c r="K8" s="278"/>
      <c r="L8" s="278"/>
      <c r="M8" s="278"/>
      <c r="N8" s="278"/>
      <c r="O8" s="278"/>
      <c r="P8" s="278"/>
      <c r="Q8" s="278"/>
      <c r="R8" s="278"/>
      <c r="S8" s="278"/>
      <c r="T8" s="278"/>
      <c r="U8" s="279"/>
      <c r="V8" s="399"/>
      <c r="W8" s="45"/>
      <c r="X8" s="45"/>
    </row>
    <row r="9" spans="1:27" ht="36" customHeight="1" thickBot="1">
      <c r="A9" s="407" t="s">
        <v>130</v>
      </c>
      <c r="B9" s="280" t="str">
        <f>IF(B$1&lt;=Num_alternatives,INDEX('Scaling Functions'!$B$117:$B$122,INDEX(Inputs_matrix,B$1,$AA9)),"NA")</f>
        <v>Not responsive</v>
      </c>
      <c r="C9" s="280" t="str">
        <f>IF(C$1&lt;=Num_alternatives,INDEX('Scaling Functions'!$B$117:$B$122,INDEX(Inputs_matrix,C$1,$AA9)),"NA")</f>
        <v>Somewhat responsive</v>
      </c>
      <c r="D9" s="280" t="str">
        <f>IF(D$1&lt;=Num_alternatives,INDEX('Scaling Functions'!$B$117:$B$122,INDEX(Inputs_matrix,D$1,$AA9)),"NA")</f>
        <v>Responsive</v>
      </c>
      <c r="E9" s="280" t="str">
        <f>IF(E$1&lt;=Num_alternatives,INDEX('Scaling Functions'!$B$117:$B$122,INDEX(Inputs_matrix,E$1,$AA9)),"NA")</f>
        <v>Highly responsive</v>
      </c>
      <c r="F9" s="280" t="str">
        <f>IF(F$1&lt;=Num_alternatives,INDEX('Scaling Functions'!$B$117:$B$122,INDEX(Inputs_matrix,F$1,$AA9)),"NA")</f>
        <v>Highly responsive</v>
      </c>
      <c r="G9" s="280" t="str">
        <f>IF(G$1&lt;=Num_alternatives,INDEX('Scaling Functions'!$B$117:$B$122,INDEX(Inputs_matrix,G$1,$AA9)),"NA")</f>
        <v>Highly responsive</v>
      </c>
      <c r="H9" s="280" t="str">
        <f>IF(H$1&lt;=Num_alternatives,INDEX('Scaling Functions'!$B$117:$B$122,INDEX(Inputs_matrix,H$1,$AA9)),"NA")</f>
        <v>Highly responsive</v>
      </c>
      <c r="I9" s="280" t="str">
        <f>IF(I$1&lt;=Num_alternatives,INDEX('Scaling Functions'!$B$117:$B$122,INDEX(Inputs_matrix,I$1,$AA9)),"NA")</f>
        <v>Highly responsive</v>
      </c>
      <c r="J9" s="280" t="str">
        <f>IF(J$1&lt;=Num_alternatives,INDEX('Scaling Functions'!$B$117:$B$122,INDEX(Inputs_matrix,J$1,$AA9)),"NA")</f>
        <v>Highly responsive</v>
      </c>
      <c r="K9" s="280" t="str">
        <f>IF(K$1&lt;=Num_alternatives,INDEX('Scaling Functions'!$B$117:$B$122,INDEX(Inputs_matrix,K$1,$AA9)),"NA")</f>
        <v>NA</v>
      </c>
      <c r="L9" s="280" t="str">
        <f>IF(L$1&lt;=Num_alternatives,INDEX('Scaling Functions'!$B$117:$B$122,INDEX(Inputs_matrix,L$1,$AA9)),"NA")</f>
        <v>NA</v>
      </c>
      <c r="M9" s="280" t="str">
        <f>IF(M$1&lt;=Num_alternatives,INDEX('Scaling Functions'!$B$117:$B$122,INDEX(Inputs_matrix,M$1,$AA9)),"NA")</f>
        <v>NA</v>
      </c>
      <c r="N9" s="280" t="str">
        <f>IF(N$1&lt;=Num_alternatives,INDEX('Scaling Functions'!$B$117:$B$122,INDEX(Inputs_matrix,N$1,$AA9)),"NA")</f>
        <v>NA</v>
      </c>
      <c r="O9" s="280" t="str">
        <f>IF(O$1&lt;=Num_alternatives,INDEX('Scaling Functions'!$B$117:$B$122,INDEX(Inputs_matrix,O$1,$AA9)),"NA")</f>
        <v>NA</v>
      </c>
      <c r="P9" s="280" t="str">
        <f>IF(P$1&lt;=Num_alternatives,INDEX('Scaling Functions'!$B$117:$B$122,INDEX(Inputs_matrix,P$1,$AA9)),"NA")</f>
        <v>NA</v>
      </c>
      <c r="Q9" s="280" t="str">
        <f>IF(Q$1&lt;=Num_alternatives,INDEX('Scaling Functions'!$B$117:$B$122,INDEX(Inputs_matrix,Q$1,$AA9)),"NA")</f>
        <v>NA</v>
      </c>
      <c r="R9" s="280" t="str">
        <f>IF(R$1&lt;=Num_alternatives,INDEX('Scaling Functions'!$B$117:$B$122,INDEX(Inputs_matrix,R$1,$AA9)),"NA")</f>
        <v>NA</v>
      </c>
      <c r="S9" s="280" t="str">
        <f>IF(S$1&lt;=Num_alternatives,INDEX('Scaling Functions'!$B$117:$B$122,INDEX(Inputs_matrix,S$1,$AA9)),"NA")</f>
        <v>NA</v>
      </c>
      <c r="T9" s="280" t="str">
        <f>IF(T$1&lt;=Num_alternatives,INDEX('Scaling Functions'!$B$117:$B$122,INDEX(Inputs_matrix,T$1,$AA9)),"NA")</f>
        <v>NA</v>
      </c>
      <c r="U9" s="281" t="str">
        <f>IF(U$1&lt;=Num_alternatives,INDEX('Scaling Functions'!$B$117:$B$122,INDEX(Inputs_matrix,U$1,$AA9)),"NA")</f>
        <v>NA</v>
      </c>
      <c r="AA9" s="13">
        <v>42</v>
      </c>
    </row>
    <row r="10" spans="1:21" ht="12.75">
      <c r="A10" s="405" t="s">
        <v>249</v>
      </c>
      <c r="B10" s="278"/>
      <c r="C10" s="278"/>
      <c r="D10" s="278"/>
      <c r="E10" s="278"/>
      <c r="F10" s="278"/>
      <c r="G10" s="278"/>
      <c r="H10" s="278"/>
      <c r="I10" s="278"/>
      <c r="J10" s="278"/>
      <c r="K10" s="278"/>
      <c r="L10" s="278"/>
      <c r="M10" s="278"/>
      <c r="N10" s="278"/>
      <c r="O10" s="278"/>
      <c r="P10" s="278"/>
      <c r="Q10" s="278"/>
      <c r="R10" s="278"/>
      <c r="S10" s="278"/>
      <c r="T10" s="278"/>
      <c r="U10" s="279"/>
    </row>
    <row r="11" spans="1:21" ht="20.25" customHeight="1">
      <c r="A11" s="408" t="s">
        <v>287</v>
      </c>
      <c r="B11" s="400"/>
      <c r="C11" s="400"/>
      <c r="D11" s="400"/>
      <c r="E11" s="400"/>
      <c r="F11" s="400"/>
      <c r="G11" s="400"/>
      <c r="H11" s="400"/>
      <c r="I11" s="400"/>
      <c r="J11" s="400"/>
      <c r="K11" s="400"/>
      <c r="L11" s="400"/>
      <c r="M11" s="400"/>
      <c r="N11" s="400"/>
      <c r="O11" s="400"/>
      <c r="P11" s="400"/>
      <c r="Q11" s="400"/>
      <c r="R11" s="400"/>
      <c r="S11" s="400"/>
      <c r="T11" s="400"/>
      <c r="U11" s="401"/>
    </row>
    <row r="12" spans="1:27" ht="36" customHeight="1">
      <c r="A12" s="409" t="s">
        <v>295</v>
      </c>
      <c r="B12" s="282" t="str">
        <f>IF(B$1&lt;=Num_alternatives,INDEX('Scaling Functions'!$B$3:$B$10,INDEX(Inputs_matrix,B$1,$AA12)),"NA")</f>
        <v>Relatively likely (e.g., 1 in 100)</v>
      </c>
      <c r="C12" s="282" t="str">
        <f>IF(C$1&lt;=Num_alternatives,INDEX('Scaling Functions'!$B$3:$B$10,INDEX(Inputs_matrix,C$1,$AA12)),"NA")</f>
        <v>Extremely unlikely (e.g., 1 in 1,000,000)</v>
      </c>
      <c r="D12" s="282" t="str">
        <f>IF(D$1&lt;=Num_alternatives,INDEX('Scaling Functions'!$B$3:$B$10,INDEX(Inputs_matrix,D$1,$AA12)),"NA")</f>
        <v>Extremely unlikely (e.g., 1 in 1,000,000)</v>
      </c>
      <c r="E12" s="282" t="str">
        <f>IF(E$1&lt;=Num_alternatives,INDEX('Scaling Functions'!$B$3:$B$10,INDEX(Inputs_matrix,E$1,$AA12)),"NA")</f>
        <v>Extremely unlikely (e.g., 1 in 1,000,000)</v>
      </c>
      <c r="F12" s="282" t="str">
        <f>IF(F$1&lt;=Num_alternatives,INDEX('Scaling Functions'!$B$3:$B$10,INDEX(Inputs_matrix,F$1,$AA12)),"NA")</f>
        <v>Extremely unlikely (e.g., 1 in 1,000,000)</v>
      </c>
      <c r="G12" s="282" t="str">
        <f>IF(G$1&lt;=Num_alternatives,INDEX('Scaling Functions'!$B$3:$B$10,INDEX(Inputs_matrix,G$1,$AA12)),"NA")</f>
        <v>Extremely unlikely (e.g., 1 in 1,000,000)</v>
      </c>
      <c r="H12" s="282" t="str">
        <f>IF(H$1&lt;=Num_alternatives,INDEX('Scaling Functions'!$B$3:$B$10,INDEX(Inputs_matrix,H$1,$AA12)),"NA")</f>
        <v>Extremely unlikely (e.g., 1 in 1,000,000)</v>
      </c>
      <c r="I12" s="282" t="str">
        <f>IF(I$1&lt;=Num_alternatives,INDEX('Scaling Functions'!$B$3:$B$10,INDEX(Inputs_matrix,I$1,$AA12)),"NA")</f>
        <v>Extremely unlikely (e.g., 1 in 1,000,000)</v>
      </c>
      <c r="J12" s="282" t="str">
        <f>IF(J$1&lt;=Num_alternatives,INDEX('Scaling Functions'!$B$3:$B$10,INDEX(Inputs_matrix,J$1,$AA12)),"NA")</f>
        <v>Extremely unlikely (e.g., 1 in 1,000,000)</v>
      </c>
      <c r="K12" s="282" t="str">
        <f>IF(K$1&lt;=Num_alternatives,INDEX('Scaling Functions'!$B$3:$B$10,INDEX(Inputs_matrix,K$1,$AA12)),"NA")</f>
        <v>NA</v>
      </c>
      <c r="L12" s="282" t="str">
        <f>IF(L$1&lt;=Num_alternatives,INDEX('Scaling Functions'!$B$3:$B$10,INDEX(Inputs_matrix,L$1,$AA12)),"NA")</f>
        <v>NA</v>
      </c>
      <c r="M12" s="282" t="str">
        <f>IF(M$1&lt;=Num_alternatives,INDEX('Scaling Functions'!$B$3:$B$10,INDEX(Inputs_matrix,M$1,$AA12)),"NA")</f>
        <v>NA</v>
      </c>
      <c r="N12" s="282" t="str">
        <f>IF(N$1&lt;=Num_alternatives,INDEX('Scaling Functions'!$B$3:$B$10,INDEX(Inputs_matrix,N$1,$AA12)),"NA")</f>
        <v>NA</v>
      </c>
      <c r="O12" s="282" t="str">
        <f>IF(O$1&lt;=Num_alternatives,INDEX('Scaling Functions'!$B$3:$B$10,INDEX(Inputs_matrix,O$1,$AA12)),"NA")</f>
        <v>NA</v>
      </c>
      <c r="P12" s="282" t="str">
        <f>IF(P$1&lt;=Num_alternatives,INDEX('Scaling Functions'!$B$3:$B$10,INDEX(Inputs_matrix,P$1,$AA12)),"NA")</f>
        <v>NA</v>
      </c>
      <c r="Q12" s="282" t="str">
        <f>IF(Q$1&lt;=Num_alternatives,INDEX('Scaling Functions'!$B$3:$B$10,INDEX(Inputs_matrix,Q$1,$AA12)),"NA")</f>
        <v>NA</v>
      </c>
      <c r="R12" s="282" t="str">
        <f>IF(R$1&lt;=Num_alternatives,INDEX('Scaling Functions'!$B$3:$B$10,INDEX(Inputs_matrix,R$1,$AA12)),"NA")</f>
        <v>NA</v>
      </c>
      <c r="S12" s="282" t="str">
        <f>IF(S$1&lt;=Num_alternatives,INDEX('Scaling Functions'!$B$3:$B$10,INDEX(Inputs_matrix,S$1,$AA12)),"NA")</f>
        <v>NA</v>
      </c>
      <c r="T12" s="282" t="str">
        <f>IF(T$1&lt;=Num_alternatives,INDEX('Scaling Functions'!$B$3:$B$10,INDEX(Inputs_matrix,T$1,$AA12)),"NA")</f>
        <v>NA</v>
      </c>
      <c r="U12" s="283" t="str">
        <f>IF(U$1&lt;=Num_alternatives,INDEX('Scaling Functions'!$B$3:$B$10,INDEX(Inputs_matrix,U$1,$AA12)),"NA")</f>
        <v>NA</v>
      </c>
      <c r="AA12" s="13">
        <v>1</v>
      </c>
    </row>
    <row r="13" spans="1:27" ht="36" customHeight="1">
      <c r="A13" s="409" t="s">
        <v>131</v>
      </c>
      <c r="B13" s="282" t="str">
        <f>IF(B$1&lt;=Num_alternatives,INDEX('Scaling Functions'!$B$14:$B$19,INDEX(Inputs_matrix,B$1,$AA13)),"NA")</f>
        <v>Moderate: roughly 100 people</v>
      </c>
      <c r="C13" s="282" t="str">
        <f>IF(C$1&lt;=Num_alternatives,INDEX('Scaling Functions'!$B$14:$B$19,INDEX(Inputs_matrix,C$1,$AA13)),"NA")</f>
        <v>Very small: 1-2 people</v>
      </c>
      <c r="D13" s="282" t="str">
        <f>IF(D$1&lt;=Num_alternatives,INDEX('Scaling Functions'!$B$14:$B$19,INDEX(Inputs_matrix,D$1,$AA13)),"NA")</f>
        <v>Very small: 1-2 people</v>
      </c>
      <c r="E13" s="282" t="str">
        <f>IF(E$1&lt;=Num_alternatives,INDEX('Scaling Functions'!$B$14:$B$19,INDEX(Inputs_matrix,E$1,$AA13)),"NA")</f>
        <v>Very small: 1-2 people</v>
      </c>
      <c r="F13" s="282" t="str">
        <f>IF(F$1&lt;=Num_alternatives,INDEX('Scaling Functions'!$B$14:$B$19,INDEX(Inputs_matrix,F$1,$AA13)),"NA")</f>
        <v>Very small: 1-2 people</v>
      </c>
      <c r="G13" s="282" t="str">
        <f>IF(G$1&lt;=Num_alternatives,INDEX('Scaling Functions'!$B$14:$B$19,INDEX(Inputs_matrix,G$1,$AA13)),"NA")</f>
        <v>Very small: 1-2 people</v>
      </c>
      <c r="H13" s="282" t="str">
        <f>IF(H$1&lt;=Num_alternatives,INDEX('Scaling Functions'!$B$14:$B$19,INDEX(Inputs_matrix,H$1,$AA13)),"NA")</f>
        <v>Very small: 1-2 people</v>
      </c>
      <c r="I13" s="282" t="str">
        <f>IF(I$1&lt;=Num_alternatives,INDEX('Scaling Functions'!$B$14:$B$19,INDEX(Inputs_matrix,I$1,$AA13)),"NA")</f>
        <v>Very small: 1-2 people</v>
      </c>
      <c r="J13" s="282" t="str">
        <f>IF(J$1&lt;=Num_alternatives,INDEX('Scaling Functions'!$B$14:$B$19,INDEX(Inputs_matrix,J$1,$AA13)),"NA")</f>
        <v>Very small: 1-2 people</v>
      </c>
      <c r="K13" s="282" t="str">
        <f>IF(K$1&lt;=Num_alternatives,INDEX('Scaling Functions'!$B$14:$B$19,INDEX(Inputs_matrix,K$1,$AA13)),"NA")</f>
        <v>NA</v>
      </c>
      <c r="L13" s="282" t="str">
        <f>IF(L$1&lt;=Num_alternatives,INDEX('Scaling Functions'!$B$14:$B$19,INDEX(Inputs_matrix,L$1,$AA13)),"NA")</f>
        <v>NA</v>
      </c>
      <c r="M13" s="282" t="str">
        <f>IF(M$1&lt;=Num_alternatives,INDEX('Scaling Functions'!$B$14:$B$19,INDEX(Inputs_matrix,M$1,$AA13)),"NA")</f>
        <v>NA</v>
      </c>
      <c r="N13" s="282" t="str">
        <f>IF(N$1&lt;=Num_alternatives,INDEX('Scaling Functions'!$B$14:$B$19,INDEX(Inputs_matrix,N$1,$AA13)),"NA")</f>
        <v>NA</v>
      </c>
      <c r="O13" s="282" t="str">
        <f>IF(O$1&lt;=Num_alternatives,INDEX('Scaling Functions'!$B$14:$B$19,INDEX(Inputs_matrix,O$1,$AA13)),"NA")</f>
        <v>NA</v>
      </c>
      <c r="P13" s="282" t="str">
        <f>IF(P$1&lt;=Num_alternatives,INDEX('Scaling Functions'!$B$14:$B$19,INDEX(Inputs_matrix,P$1,$AA13)),"NA")</f>
        <v>NA</v>
      </c>
      <c r="Q13" s="282" t="str">
        <f>IF(Q$1&lt;=Num_alternatives,INDEX('Scaling Functions'!$B$14:$B$19,INDEX(Inputs_matrix,Q$1,$AA13)),"NA")</f>
        <v>NA</v>
      </c>
      <c r="R13" s="282" t="str">
        <f>IF(R$1&lt;=Num_alternatives,INDEX('Scaling Functions'!$B$14:$B$19,INDEX(Inputs_matrix,R$1,$AA13)),"NA")</f>
        <v>NA</v>
      </c>
      <c r="S13" s="282" t="str">
        <f>IF(S$1&lt;=Num_alternatives,INDEX('Scaling Functions'!$B$14:$B$19,INDEX(Inputs_matrix,S$1,$AA13)),"NA")</f>
        <v>NA</v>
      </c>
      <c r="T13" s="282" t="str">
        <f>IF(T$1&lt;=Num_alternatives,INDEX('Scaling Functions'!$B$14:$B$19,INDEX(Inputs_matrix,T$1,$AA13)),"NA")</f>
        <v>NA</v>
      </c>
      <c r="U13" s="283" t="str">
        <f>IF(U$1&lt;=Num_alternatives,INDEX('Scaling Functions'!$B$14:$B$19,INDEX(Inputs_matrix,U$1,$AA13)),"NA")</f>
        <v>NA</v>
      </c>
      <c r="AA13" s="13">
        <v>2</v>
      </c>
    </row>
    <row r="14" spans="1:27" ht="24" customHeight="1">
      <c r="A14" s="409" t="s">
        <v>132</v>
      </c>
      <c r="B14" s="282" t="str">
        <f>IF(B$1&lt;=Num_alternatives,INDEX('Scaling Functions'!$B$25:$B$31,INDEX(Inputs_matrix,B$1,$AA14)),"NA")</f>
        <v>10 to 20 years</v>
      </c>
      <c r="C14" s="282" t="str">
        <f>IF(C$1&lt;=Num_alternatives,INDEX('Scaling Functions'!$B$25:$B$31,INDEX(Inputs_matrix,C$1,$AA14)),"NA")</f>
        <v>10 to 20 years</v>
      </c>
      <c r="D14" s="282" t="str">
        <f>IF(D$1&lt;=Num_alternatives,INDEX('Scaling Functions'!$B$25:$B$31,INDEX(Inputs_matrix,D$1,$AA14)),"NA")</f>
        <v>10 to 20 years</v>
      </c>
      <c r="E14" s="282" t="str">
        <f>IF(E$1&lt;=Num_alternatives,INDEX('Scaling Functions'!$B$25:$B$31,INDEX(Inputs_matrix,E$1,$AA14)),"NA")</f>
        <v>10 to 20 years</v>
      </c>
      <c r="F14" s="282" t="str">
        <f>IF(F$1&lt;=Num_alternatives,INDEX('Scaling Functions'!$B$25:$B$31,INDEX(Inputs_matrix,F$1,$AA14)),"NA")</f>
        <v>10 to 20 years</v>
      </c>
      <c r="G14" s="282" t="str">
        <f>IF(G$1&lt;=Num_alternatives,INDEX('Scaling Functions'!$B$25:$B$31,INDEX(Inputs_matrix,G$1,$AA14)),"NA")</f>
        <v>10 to 20 years</v>
      </c>
      <c r="H14" s="282" t="str">
        <f>IF(H$1&lt;=Num_alternatives,INDEX('Scaling Functions'!$B$25:$B$31,INDEX(Inputs_matrix,H$1,$AA14)),"NA")</f>
        <v>10 to 20 years</v>
      </c>
      <c r="I14" s="282" t="str">
        <f>IF(I$1&lt;=Num_alternatives,INDEX('Scaling Functions'!$B$25:$B$31,INDEX(Inputs_matrix,I$1,$AA14)),"NA")</f>
        <v>10 to 20 years</v>
      </c>
      <c r="J14" s="282" t="str">
        <f>IF(J$1&lt;=Num_alternatives,INDEX('Scaling Functions'!$B$25:$B$31,INDEX(Inputs_matrix,J$1,$AA14)),"NA")</f>
        <v>10 to 20 years</v>
      </c>
      <c r="K14" s="282" t="str">
        <f>IF(K$1&lt;=Num_alternatives,INDEX('Scaling Functions'!$B$25:$B$31,INDEX(Inputs_matrix,K$1,$AA14)),"NA")</f>
        <v>NA</v>
      </c>
      <c r="L14" s="282" t="str">
        <f>IF(L$1&lt;=Num_alternatives,INDEX('Scaling Functions'!$B$25:$B$31,INDEX(Inputs_matrix,L$1,$AA14)),"NA")</f>
        <v>NA</v>
      </c>
      <c r="M14" s="282" t="str">
        <f>IF(M$1&lt;=Num_alternatives,INDEX('Scaling Functions'!$B$25:$B$31,INDEX(Inputs_matrix,M$1,$AA14)),"NA")</f>
        <v>NA</v>
      </c>
      <c r="N14" s="282" t="str">
        <f>IF(N$1&lt;=Num_alternatives,INDEX('Scaling Functions'!$B$25:$B$31,INDEX(Inputs_matrix,N$1,$AA14)),"NA")</f>
        <v>NA</v>
      </c>
      <c r="O14" s="282" t="str">
        <f>IF(O$1&lt;=Num_alternatives,INDEX('Scaling Functions'!$B$25:$B$31,INDEX(Inputs_matrix,O$1,$AA14)),"NA")</f>
        <v>NA</v>
      </c>
      <c r="P14" s="282" t="str">
        <f>IF(P$1&lt;=Num_alternatives,INDEX('Scaling Functions'!$B$25:$B$31,INDEX(Inputs_matrix,P$1,$AA14)),"NA")</f>
        <v>NA</v>
      </c>
      <c r="Q14" s="282" t="str">
        <f>IF(Q$1&lt;=Num_alternatives,INDEX('Scaling Functions'!$B$25:$B$31,INDEX(Inputs_matrix,Q$1,$AA14)),"NA")</f>
        <v>NA</v>
      </c>
      <c r="R14" s="282" t="str">
        <f>IF(R$1&lt;=Num_alternatives,INDEX('Scaling Functions'!$B$25:$B$31,INDEX(Inputs_matrix,R$1,$AA14)),"NA")</f>
        <v>NA</v>
      </c>
      <c r="S14" s="282" t="str">
        <f>IF(S$1&lt;=Num_alternatives,INDEX('Scaling Functions'!$B$25:$B$31,INDEX(Inputs_matrix,S$1,$AA14)),"NA")</f>
        <v>NA</v>
      </c>
      <c r="T14" s="282" t="str">
        <f>IF(T$1&lt;=Num_alternatives,INDEX('Scaling Functions'!$B$25:$B$31,INDEX(Inputs_matrix,T$1,$AA14)),"NA")</f>
        <v>NA</v>
      </c>
      <c r="U14" s="283" t="str">
        <f>IF(U$1&lt;=Num_alternatives,INDEX('Scaling Functions'!$B$25:$B$31,INDEX(Inputs_matrix,U$1,$AA14)),"NA")</f>
        <v>NA</v>
      </c>
      <c r="AA14" s="13">
        <v>3</v>
      </c>
    </row>
    <row r="15" spans="1:27" ht="36" customHeight="1">
      <c r="A15" s="409" t="s">
        <v>296</v>
      </c>
      <c r="B15" s="282" t="str">
        <f>IF(B$1&lt;=Num_alternatives,INDEX('Scaling Functions'!$B$36:$B$43,INDEX(Inputs_matrix,B$1,$AA15)),"NA")</f>
        <v>Very unlikely (e.g., 1 in 100,000)</v>
      </c>
      <c r="C15" s="282" t="str">
        <f>IF(C$1&lt;=Num_alternatives,INDEX('Scaling Functions'!$B$36:$B$43,INDEX(Inputs_matrix,C$1,$AA15)),"NA")</f>
        <v>Very unlikely (e.g., 1 in 100,000)</v>
      </c>
      <c r="D15" s="282" t="str">
        <f>IF(D$1&lt;=Num_alternatives,INDEX('Scaling Functions'!$B$36:$B$43,INDEX(Inputs_matrix,D$1,$AA15)),"NA")</f>
        <v>Very unlikely (e.g., 1 in 100,000)</v>
      </c>
      <c r="E15" s="282" t="str">
        <f>IF(E$1&lt;=Num_alternatives,INDEX('Scaling Functions'!$B$36:$B$43,INDEX(Inputs_matrix,E$1,$AA15)),"NA")</f>
        <v>Extremely unlikely (e.g., 1 in 1,000,000)</v>
      </c>
      <c r="F15" s="282" t="str">
        <f>IF(F$1&lt;=Num_alternatives,INDEX('Scaling Functions'!$B$36:$B$43,INDEX(Inputs_matrix,F$1,$AA15)),"NA")</f>
        <v>Extremely unlikely (e.g., 1 in 1,000,000)</v>
      </c>
      <c r="G15" s="282" t="str">
        <f>IF(G$1&lt;=Num_alternatives,INDEX('Scaling Functions'!$B$36:$B$43,INDEX(Inputs_matrix,G$1,$AA15)),"NA")</f>
        <v>Extremely unlikely (e.g., 1 in 1,000,000)</v>
      </c>
      <c r="H15" s="282" t="str">
        <f>IF(H$1&lt;=Num_alternatives,INDEX('Scaling Functions'!$B$36:$B$43,INDEX(Inputs_matrix,H$1,$AA15)),"NA")</f>
        <v>Extremely unlikely (e.g., 1 in 1,000,000)</v>
      </c>
      <c r="I15" s="282" t="str">
        <f>IF(I$1&lt;=Num_alternatives,INDEX('Scaling Functions'!$B$36:$B$43,INDEX(Inputs_matrix,I$1,$AA15)),"NA")</f>
        <v>Extremely unlikely (e.g., 1 in 1,000,000)</v>
      </c>
      <c r="J15" s="282" t="str">
        <f>IF(J$1&lt;=Num_alternatives,INDEX('Scaling Functions'!$B$36:$B$43,INDEX(Inputs_matrix,J$1,$AA15)),"NA")</f>
        <v>Extremely unlikely (e.g., 1 in 1,000,000)</v>
      </c>
      <c r="K15" s="282" t="str">
        <f>IF(K$1&lt;=Num_alternatives,INDEX('Scaling Functions'!$B$36:$B$43,INDEX(Inputs_matrix,K$1,$AA15)),"NA")</f>
        <v>NA</v>
      </c>
      <c r="L15" s="282" t="str">
        <f>IF(L$1&lt;=Num_alternatives,INDEX('Scaling Functions'!$B$36:$B$43,INDEX(Inputs_matrix,L$1,$AA15)),"NA")</f>
        <v>NA</v>
      </c>
      <c r="M15" s="282" t="str">
        <f>IF(M$1&lt;=Num_alternatives,INDEX('Scaling Functions'!$B$36:$B$43,INDEX(Inputs_matrix,M$1,$AA15)),"NA")</f>
        <v>NA</v>
      </c>
      <c r="N15" s="282" t="str">
        <f>IF(N$1&lt;=Num_alternatives,INDEX('Scaling Functions'!$B$36:$B$43,INDEX(Inputs_matrix,N$1,$AA15)),"NA")</f>
        <v>NA</v>
      </c>
      <c r="O15" s="282" t="str">
        <f>IF(O$1&lt;=Num_alternatives,INDEX('Scaling Functions'!$B$36:$B$43,INDEX(Inputs_matrix,O$1,$AA15)),"NA")</f>
        <v>NA</v>
      </c>
      <c r="P15" s="282" t="str">
        <f>IF(P$1&lt;=Num_alternatives,INDEX('Scaling Functions'!$B$36:$B$43,INDEX(Inputs_matrix,P$1,$AA15)),"NA")</f>
        <v>NA</v>
      </c>
      <c r="Q15" s="282" t="str">
        <f>IF(Q$1&lt;=Num_alternatives,INDEX('Scaling Functions'!$B$36:$B$43,INDEX(Inputs_matrix,Q$1,$AA15)),"NA")</f>
        <v>NA</v>
      </c>
      <c r="R15" s="282" t="str">
        <f>IF(R$1&lt;=Num_alternatives,INDEX('Scaling Functions'!$B$36:$B$43,INDEX(Inputs_matrix,R$1,$AA15)),"NA")</f>
        <v>NA</v>
      </c>
      <c r="S15" s="282" t="str">
        <f>IF(S$1&lt;=Num_alternatives,INDEX('Scaling Functions'!$B$36:$B$43,INDEX(Inputs_matrix,S$1,$AA15)),"NA")</f>
        <v>NA</v>
      </c>
      <c r="T15" s="282" t="str">
        <f>IF(T$1&lt;=Num_alternatives,INDEX('Scaling Functions'!$B$36:$B$43,INDEX(Inputs_matrix,T$1,$AA15)),"NA")</f>
        <v>NA</v>
      </c>
      <c r="U15" s="283" t="str">
        <f>IF(U$1&lt;=Num_alternatives,INDEX('Scaling Functions'!$B$36:$B$43,INDEX(Inputs_matrix,U$1,$AA15)),"NA")</f>
        <v>NA</v>
      </c>
      <c r="AA15" s="13">
        <v>4</v>
      </c>
    </row>
    <row r="16" spans="1:27" ht="24" customHeight="1">
      <c r="A16" s="409" t="s">
        <v>133</v>
      </c>
      <c r="B16" s="284" t="str">
        <f>IF(B$1&lt;=Num_alternatives,INDEX('Scaling Functions'!$B$47:$B$51,INDEX(Inputs_matrix,B$1,$AA16)),"NA")</f>
        <v>Serious effect</v>
      </c>
      <c r="C16" s="284" t="str">
        <f>IF(C$1&lt;=Num_alternatives,INDEX('Scaling Functions'!$B$47:$B$51,INDEX(Inputs_matrix,C$1,$AA16)),"NA")</f>
        <v>Serious effect</v>
      </c>
      <c r="D16" s="284" t="str">
        <f>IF(D$1&lt;=Num_alternatives,INDEX('Scaling Functions'!$B$47:$B$51,INDEX(Inputs_matrix,D$1,$AA16)),"NA")</f>
        <v>Serious effect</v>
      </c>
      <c r="E16" s="284" t="str">
        <f>IF(E$1&lt;=Num_alternatives,INDEX('Scaling Functions'!$B$47:$B$51,INDEX(Inputs_matrix,E$1,$AA16)),"NA")</f>
        <v>Serious effect</v>
      </c>
      <c r="F16" s="284" t="str">
        <f>IF(F$1&lt;=Num_alternatives,INDEX('Scaling Functions'!$B$47:$B$51,INDEX(Inputs_matrix,F$1,$AA16)),"NA")</f>
        <v>Serious effect</v>
      </c>
      <c r="G16" s="284" t="str">
        <f>IF(G$1&lt;=Num_alternatives,INDEX('Scaling Functions'!$B$47:$B$51,INDEX(Inputs_matrix,G$1,$AA16)),"NA")</f>
        <v>Serious effect</v>
      </c>
      <c r="H16" s="284" t="str">
        <f>IF(H$1&lt;=Num_alternatives,INDEX('Scaling Functions'!$B$47:$B$51,INDEX(Inputs_matrix,H$1,$AA16)),"NA")</f>
        <v>Serious effect</v>
      </c>
      <c r="I16" s="284" t="str">
        <f>IF(I$1&lt;=Num_alternatives,INDEX('Scaling Functions'!$B$47:$B$51,INDEX(Inputs_matrix,I$1,$AA16)),"NA")</f>
        <v>Serious effect</v>
      </c>
      <c r="J16" s="284" t="str">
        <f>IF(J$1&lt;=Num_alternatives,INDEX('Scaling Functions'!$B$47:$B$51,INDEX(Inputs_matrix,J$1,$AA16)),"NA")</f>
        <v>Serious effect</v>
      </c>
      <c r="K16" s="284" t="str">
        <f>IF(K$1&lt;=Num_alternatives,INDEX('Scaling Functions'!$B$47:$B$51,INDEX(Inputs_matrix,K$1,$AA16)),"NA")</f>
        <v>NA</v>
      </c>
      <c r="L16" s="284" t="str">
        <f>IF(L$1&lt;=Num_alternatives,INDEX('Scaling Functions'!$B$47:$B$51,INDEX(Inputs_matrix,L$1,$AA16)),"NA")</f>
        <v>NA</v>
      </c>
      <c r="M16" s="284" t="str">
        <f>IF(M$1&lt;=Num_alternatives,INDEX('Scaling Functions'!$B$47:$B$51,INDEX(Inputs_matrix,M$1,$AA16)),"NA")</f>
        <v>NA</v>
      </c>
      <c r="N16" s="284" t="str">
        <f>IF(N$1&lt;=Num_alternatives,INDEX('Scaling Functions'!$B$47:$B$51,INDEX(Inputs_matrix,N$1,$AA16)),"NA")</f>
        <v>NA</v>
      </c>
      <c r="O16" s="284" t="str">
        <f>IF(O$1&lt;=Num_alternatives,INDEX('Scaling Functions'!$B$47:$B$51,INDEX(Inputs_matrix,O$1,$AA16)),"NA")</f>
        <v>NA</v>
      </c>
      <c r="P16" s="284" t="str">
        <f>IF(P$1&lt;=Num_alternatives,INDEX('Scaling Functions'!$B$47:$B$51,INDEX(Inputs_matrix,P$1,$AA16)),"NA")</f>
        <v>NA</v>
      </c>
      <c r="Q16" s="284" t="str">
        <f>IF(Q$1&lt;=Num_alternatives,INDEX('Scaling Functions'!$B$47:$B$51,INDEX(Inputs_matrix,Q$1,$AA16)),"NA")</f>
        <v>NA</v>
      </c>
      <c r="R16" s="284" t="str">
        <f>IF(R$1&lt;=Num_alternatives,INDEX('Scaling Functions'!$B$47:$B$51,INDEX(Inputs_matrix,R$1,$AA16)),"NA")</f>
        <v>NA</v>
      </c>
      <c r="S16" s="284" t="str">
        <f>IF(S$1&lt;=Num_alternatives,INDEX('Scaling Functions'!$B$47:$B$51,INDEX(Inputs_matrix,S$1,$AA16)),"NA")</f>
        <v>NA</v>
      </c>
      <c r="T16" s="284" t="str">
        <f>IF(T$1&lt;=Num_alternatives,INDEX('Scaling Functions'!$B$47:$B$51,INDEX(Inputs_matrix,T$1,$AA16)),"NA")</f>
        <v>NA</v>
      </c>
      <c r="U16" s="285" t="str">
        <f>IF(U$1&lt;=Num_alternatives,INDEX('Scaling Functions'!$B$47:$B$51,INDEX(Inputs_matrix,U$1,$AA16)),"NA")</f>
        <v>NA</v>
      </c>
      <c r="V16" s="399"/>
      <c r="W16" s="45"/>
      <c r="X16" s="45"/>
      <c r="AA16" s="13">
        <v>5</v>
      </c>
    </row>
    <row r="17" spans="1:24" ht="24" customHeight="1">
      <c r="A17" s="410" t="s">
        <v>365</v>
      </c>
      <c r="B17" s="282"/>
      <c r="C17" s="282"/>
      <c r="D17" s="282"/>
      <c r="E17" s="282"/>
      <c r="F17" s="282"/>
      <c r="G17" s="282"/>
      <c r="H17" s="282"/>
      <c r="I17" s="282"/>
      <c r="J17" s="282"/>
      <c r="K17" s="282"/>
      <c r="L17" s="282"/>
      <c r="M17" s="282"/>
      <c r="N17" s="282"/>
      <c r="O17" s="282"/>
      <c r="P17" s="282"/>
      <c r="Q17" s="282"/>
      <c r="R17" s="282"/>
      <c r="S17" s="282"/>
      <c r="T17" s="282"/>
      <c r="U17" s="283"/>
      <c r="V17" s="399"/>
      <c r="W17" s="45"/>
      <c r="X17" s="45"/>
    </row>
    <row r="18" spans="1:27" ht="36" customHeight="1">
      <c r="A18" s="409" t="s">
        <v>295</v>
      </c>
      <c r="B18" s="282" t="str">
        <f>IF(B$1&lt;=Num_alternatives,INDEX('Scaling Functions'!$B$3:$B$10,INDEX(Inputs_matrix,B$1,$AA18)),"NA")</f>
        <v>NA</v>
      </c>
      <c r="C18" s="282" t="str">
        <f>IF(C$1&lt;=Num_alternatives,INDEX('Scaling Functions'!$B$3:$B$10,INDEX(Inputs_matrix,C$1,$AA18)),"NA")</f>
        <v>NA</v>
      </c>
      <c r="D18" s="282" t="str">
        <f>IF(D$1&lt;=Num_alternatives,INDEX('Scaling Functions'!$B$3:$B$10,INDEX(Inputs_matrix,D$1,$AA18)),"NA")</f>
        <v>NA</v>
      </c>
      <c r="E18" s="282" t="str">
        <f>IF(E$1&lt;=Num_alternatives,INDEX('Scaling Functions'!$B$3:$B$10,INDEX(Inputs_matrix,E$1,$AA18)),"NA")</f>
        <v>NA</v>
      </c>
      <c r="F18" s="282" t="str">
        <f>IF(F$1&lt;=Num_alternatives,INDEX('Scaling Functions'!$B$3:$B$10,INDEX(Inputs_matrix,F$1,$AA18)),"NA")</f>
        <v>NA</v>
      </c>
      <c r="G18" s="282" t="str">
        <f>IF(G$1&lt;=Num_alternatives,INDEX('Scaling Functions'!$B$3:$B$10,INDEX(Inputs_matrix,G$1,$AA18)),"NA")</f>
        <v>NA</v>
      </c>
      <c r="H18" s="282" t="str">
        <f>IF(H$1&lt;=Num_alternatives,INDEX('Scaling Functions'!$B$3:$B$10,INDEX(Inputs_matrix,H$1,$AA18)),"NA")</f>
        <v>NA</v>
      </c>
      <c r="I18" s="282" t="str">
        <f>IF(I$1&lt;=Num_alternatives,INDEX('Scaling Functions'!$B$3:$B$10,INDEX(Inputs_matrix,I$1,$AA18)),"NA")</f>
        <v>NA</v>
      </c>
      <c r="J18" s="282" t="str">
        <f>IF(J$1&lt;=Num_alternatives,INDEX('Scaling Functions'!$B$3:$B$10,INDEX(Inputs_matrix,J$1,$AA18)),"NA")</f>
        <v>NA</v>
      </c>
      <c r="K18" s="282" t="str">
        <f>IF(K$1&lt;=Num_alternatives,INDEX('Scaling Functions'!$B$3:$B$10,INDEX(Inputs_matrix,K$1,$AA18)),"NA")</f>
        <v>NA</v>
      </c>
      <c r="L18" s="282" t="str">
        <f>IF(L$1&lt;=Num_alternatives,INDEX('Scaling Functions'!$B$3:$B$10,INDEX(Inputs_matrix,L$1,$AA18)),"NA")</f>
        <v>NA</v>
      </c>
      <c r="M18" s="282" t="str">
        <f>IF(M$1&lt;=Num_alternatives,INDEX('Scaling Functions'!$B$3:$B$10,INDEX(Inputs_matrix,M$1,$AA18)),"NA")</f>
        <v>NA</v>
      </c>
      <c r="N18" s="282" t="str">
        <f>IF(N$1&lt;=Num_alternatives,INDEX('Scaling Functions'!$B$3:$B$10,INDEX(Inputs_matrix,N$1,$AA18)),"NA")</f>
        <v>NA</v>
      </c>
      <c r="O18" s="282" t="str">
        <f>IF(O$1&lt;=Num_alternatives,INDEX('Scaling Functions'!$B$3:$B$10,INDEX(Inputs_matrix,O$1,$AA18)),"NA")</f>
        <v>NA</v>
      </c>
      <c r="P18" s="282" t="str">
        <f>IF(P$1&lt;=Num_alternatives,INDEX('Scaling Functions'!$B$3:$B$10,INDEX(Inputs_matrix,P$1,$AA18)),"NA")</f>
        <v>NA</v>
      </c>
      <c r="Q18" s="282" t="str">
        <f>IF(Q$1&lt;=Num_alternatives,INDEX('Scaling Functions'!$B$3:$B$10,INDEX(Inputs_matrix,Q$1,$AA18)),"NA")</f>
        <v>NA</v>
      </c>
      <c r="R18" s="282" t="str">
        <f>IF(R$1&lt;=Num_alternatives,INDEX('Scaling Functions'!$B$3:$B$10,INDEX(Inputs_matrix,R$1,$AA18)),"NA")</f>
        <v>NA</v>
      </c>
      <c r="S18" s="282" t="str">
        <f>IF(S$1&lt;=Num_alternatives,INDEX('Scaling Functions'!$B$3:$B$10,INDEX(Inputs_matrix,S$1,$AA18)),"NA")</f>
        <v>NA</v>
      </c>
      <c r="T18" s="282" t="str">
        <f>IF(T$1&lt;=Num_alternatives,INDEX('Scaling Functions'!$B$3:$B$10,INDEX(Inputs_matrix,T$1,$AA18)),"NA")</f>
        <v>NA</v>
      </c>
      <c r="U18" s="283" t="str">
        <f>IF(U$1&lt;=Num_alternatives,INDEX('Scaling Functions'!$B$3:$B$10,INDEX(Inputs_matrix,U$1,$AA18)),"NA")</f>
        <v>NA</v>
      </c>
      <c r="V18" s="399"/>
      <c r="W18" s="45"/>
      <c r="X18" s="45"/>
      <c r="AA18" s="13">
        <v>6</v>
      </c>
    </row>
    <row r="19" spans="1:27" ht="36" customHeight="1">
      <c r="A19" s="409" t="s">
        <v>131</v>
      </c>
      <c r="B19" s="282" t="str">
        <f>IF(B$1&lt;=Num_alternatives,INDEX('Scaling Functions'!$B$14:$B$19,INDEX(Inputs_matrix,B$1,$AA19)),"NA")</f>
        <v>NA</v>
      </c>
      <c r="C19" s="282" t="str">
        <f>IF(C$1&lt;=Num_alternatives,INDEX('Scaling Functions'!$B$14:$B$19,INDEX(Inputs_matrix,C$1,$AA19)),"NA")</f>
        <v>NA</v>
      </c>
      <c r="D19" s="282" t="str">
        <f>IF(D$1&lt;=Num_alternatives,INDEX('Scaling Functions'!$B$14:$B$19,INDEX(Inputs_matrix,D$1,$AA19)),"NA")</f>
        <v>NA</v>
      </c>
      <c r="E19" s="282" t="str">
        <f>IF(E$1&lt;=Num_alternatives,INDEX('Scaling Functions'!$B$14:$B$19,INDEX(Inputs_matrix,E$1,$AA19)),"NA")</f>
        <v>NA</v>
      </c>
      <c r="F19" s="282" t="str">
        <f>IF(F$1&lt;=Num_alternatives,INDEX('Scaling Functions'!$B$14:$B$19,INDEX(Inputs_matrix,F$1,$AA19)),"NA")</f>
        <v>NA</v>
      </c>
      <c r="G19" s="282" t="str">
        <f>IF(G$1&lt;=Num_alternatives,INDEX('Scaling Functions'!$B$14:$B$19,INDEX(Inputs_matrix,G$1,$AA19)),"NA")</f>
        <v>NA</v>
      </c>
      <c r="H19" s="282" t="str">
        <f>IF(H$1&lt;=Num_alternatives,INDEX('Scaling Functions'!$B$14:$B$19,INDEX(Inputs_matrix,H$1,$AA19)),"NA")</f>
        <v>NA</v>
      </c>
      <c r="I19" s="282" t="str">
        <f>IF(I$1&lt;=Num_alternatives,INDEX('Scaling Functions'!$B$14:$B$19,INDEX(Inputs_matrix,I$1,$AA19)),"NA")</f>
        <v>NA</v>
      </c>
      <c r="J19" s="282" t="str">
        <f>IF(J$1&lt;=Num_alternatives,INDEX('Scaling Functions'!$B$14:$B$19,INDEX(Inputs_matrix,J$1,$AA19)),"NA")</f>
        <v>NA</v>
      </c>
      <c r="K19" s="282" t="str">
        <f>IF(K$1&lt;=Num_alternatives,INDEX('Scaling Functions'!$B$14:$B$19,INDEX(Inputs_matrix,K$1,$AA19)),"NA")</f>
        <v>NA</v>
      </c>
      <c r="L19" s="282" t="str">
        <f>IF(L$1&lt;=Num_alternatives,INDEX('Scaling Functions'!$B$14:$B$19,INDEX(Inputs_matrix,L$1,$AA19)),"NA")</f>
        <v>NA</v>
      </c>
      <c r="M19" s="282" t="str">
        <f>IF(M$1&lt;=Num_alternatives,INDEX('Scaling Functions'!$B$14:$B$19,INDEX(Inputs_matrix,M$1,$AA19)),"NA")</f>
        <v>NA</v>
      </c>
      <c r="N19" s="282" t="str">
        <f>IF(N$1&lt;=Num_alternatives,INDEX('Scaling Functions'!$B$14:$B$19,INDEX(Inputs_matrix,N$1,$AA19)),"NA")</f>
        <v>NA</v>
      </c>
      <c r="O19" s="282" t="str">
        <f>IF(O$1&lt;=Num_alternatives,INDEX('Scaling Functions'!$B$14:$B$19,INDEX(Inputs_matrix,O$1,$AA19)),"NA")</f>
        <v>NA</v>
      </c>
      <c r="P19" s="282" t="str">
        <f>IF(P$1&lt;=Num_alternatives,INDEX('Scaling Functions'!$B$14:$B$19,INDEX(Inputs_matrix,P$1,$AA19)),"NA")</f>
        <v>NA</v>
      </c>
      <c r="Q19" s="282" t="str">
        <f>IF(Q$1&lt;=Num_alternatives,INDEX('Scaling Functions'!$B$14:$B$19,INDEX(Inputs_matrix,Q$1,$AA19)),"NA")</f>
        <v>NA</v>
      </c>
      <c r="R19" s="282" t="str">
        <f>IF(R$1&lt;=Num_alternatives,INDEX('Scaling Functions'!$B$14:$B$19,INDEX(Inputs_matrix,R$1,$AA19)),"NA")</f>
        <v>NA</v>
      </c>
      <c r="S19" s="282" t="str">
        <f>IF(S$1&lt;=Num_alternatives,INDEX('Scaling Functions'!$B$14:$B$19,INDEX(Inputs_matrix,S$1,$AA19)),"NA")</f>
        <v>NA</v>
      </c>
      <c r="T19" s="282" t="str">
        <f>IF(T$1&lt;=Num_alternatives,INDEX('Scaling Functions'!$B$14:$B$19,INDEX(Inputs_matrix,T$1,$AA19)),"NA")</f>
        <v>NA</v>
      </c>
      <c r="U19" s="283" t="str">
        <f>IF(U$1&lt;=Num_alternatives,INDEX('Scaling Functions'!$B$14:$B$19,INDEX(Inputs_matrix,U$1,$AA19)),"NA")</f>
        <v>NA</v>
      </c>
      <c r="V19" s="399"/>
      <c r="W19" s="45"/>
      <c r="X19" s="45"/>
      <c r="AA19" s="13">
        <v>7</v>
      </c>
    </row>
    <row r="20" spans="1:27" ht="24" customHeight="1">
      <c r="A20" s="409" t="s">
        <v>132</v>
      </c>
      <c r="B20" s="282" t="str">
        <f>IF(B$1&lt;=Num_alternatives,INDEX('Scaling Functions'!$B$25:$B$31,INDEX(Inputs_matrix,B$1,$AA20)),"NA")</f>
        <v>NA</v>
      </c>
      <c r="C20" s="282" t="str">
        <f>IF(C$1&lt;=Num_alternatives,INDEX('Scaling Functions'!$B$25:$B$31,INDEX(Inputs_matrix,C$1,$AA20)),"NA")</f>
        <v>NA</v>
      </c>
      <c r="D20" s="282" t="str">
        <f>IF(D$1&lt;=Num_alternatives,INDEX('Scaling Functions'!$B$25:$B$31,INDEX(Inputs_matrix,D$1,$AA20)),"NA")</f>
        <v>NA</v>
      </c>
      <c r="E20" s="282" t="str">
        <f>IF(E$1&lt;=Num_alternatives,INDEX('Scaling Functions'!$B$25:$B$31,INDEX(Inputs_matrix,E$1,$AA20)),"NA")</f>
        <v>NA</v>
      </c>
      <c r="F20" s="282" t="str">
        <f>IF(F$1&lt;=Num_alternatives,INDEX('Scaling Functions'!$B$25:$B$31,INDEX(Inputs_matrix,F$1,$AA20)),"NA")</f>
        <v>NA</v>
      </c>
      <c r="G20" s="282" t="str">
        <f>IF(G$1&lt;=Num_alternatives,INDEX('Scaling Functions'!$B$25:$B$31,INDEX(Inputs_matrix,G$1,$AA20)),"NA")</f>
        <v>NA</v>
      </c>
      <c r="H20" s="282" t="str">
        <f>IF(H$1&lt;=Num_alternatives,INDEX('Scaling Functions'!$B$25:$B$31,INDEX(Inputs_matrix,H$1,$AA20)),"NA")</f>
        <v>NA</v>
      </c>
      <c r="I20" s="282" t="str">
        <f>IF(I$1&lt;=Num_alternatives,INDEX('Scaling Functions'!$B$25:$B$31,INDEX(Inputs_matrix,I$1,$AA20)),"NA")</f>
        <v>NA</v>
      </c>
      <c r="J20" s="282" t="str">
        <f>IF(J$1&lt;=Num_alternatives,INDEX('Scaling Functions'!$B$25:$B$31,INDEX(Inputs_matrix,J$1,$AA20)),"NA")</f>
        <v>NA</v>
      </c>
      <c r="K20" s="282" t="str">
        <f>IF(K$1&lt;=Num_alternatives,INDEX('Scaling Functions'!$B$25:$B$31,INDEX(Inputs_matrix,K$1,$AA20)),"NA")</f>
        <v>NA</v>
      </c>
      <c r="L20" s="282" t="str">
        <f>IF(L$1&lt;=Num_alternatives,INDEX('Scaling Functions'!$B$25:$B$31,INDEX(Inputs_matrix,L$1,$AA20)),"NA")</f>
        <v>NA</v>
      </c>
      <c r="M20" s="282" t="str">
        <f>IF(M$1&lt;=Num_alternatives,INDEX('Scaling Functions'!$B$25:$B$31,INDEX(Inputs_matrix,M$1,$AA20)),"NA")</f>
        <v>NA</v>
      </c>
      <c r="N20" s="282" t="str">
        <f>IF(N$1&lt;=Num_alternatives,INDEX('Scaling Functions'!$B$25:$B$31,INDEX(Inputs_matrix,N$1,$AA20)),"NA")</f>
        <v>NA</v>
      </c>
      <c r="O20" s="282" t="str">
        <f>IF(O$1&lt;=Num_alternatives,INDEX('Scaling Functions'!$B$25:$B$31,INDEX(Inputs_matrix,O$1,$AA20)),"NA")</f>
        <v>NA</v>
      </c>
      <c r="P20" s="282" t="str">
        <f>IF(P$1&lt;=Num_alternatives,INDEX('Scaling Functions'!$B$25:$B$31,INDEX(Inputs_matrix,P$1,$AA20)),"NA")</f>
        <v>NA</v>
      </c>
      <c r="Q20" s="282" t="str">
        <f>IF(Q$1&lt;=Num_alternatives,INDEX('Scaling Functions'!$B$25:$B$31,INDEX(Inputs_matrix,Q$1,$AA20)),"NA")</f>
        <v>NA</v>
      </c>
      <c r="R20" s="282" t="str">
        <f>IF(R$1&lt;=Num_alternatives,INDEX('Scaling Functions'!$B$25:$B$31,INDEX(Inputs_matrix,R$1,$AA20)),"NA")</f>
        <v>NA</v>
      </c>
      <c r="S20" s="282" t="str">
        <f>IF(S$1&lt;=Num_alternatives,INDEX('Scaling Functions'!$B$25:$B$31,INDEX(Inputs_matrix,S$1,$AA20)),"NA")</f>
        <v>NA</v>
      </c>
      <c r="T20" s="282" t="str">
        <f>IF(T$1&lt;=Num_alternatives,INDEX('Scaling Functions'!$B$25:$B$31,INDEX(Inputs_matrix,T$1,$AA20)),"NA")</f>
        <v>NA</v>
      </c>
      <c r="U20" s="283" t="str">
        <f>IF(U$1&lt;=Num_alternatives,INDEX('Scaling Functions'!$B$25:$B$31,INDEX(Inputs_matrix,U$1,$AA20)),"NA")</f>
        <v>NA</v>
      </c>
      <c r="V20" s="399"/>
      <c r="W20" s="45"/>
      <c r="X20" s="45"/>
      <c r="AA20" s="13">
        <v>8</v>
      </c>
    </row>
    <row r="21" spans="1:27" ht="36" customHeight="1">
      <c r="A21" s="409" t="s">
        <v>296</v>
      </c>
      <c r="B21" s="282" t="str">
        <f>IF(B$1&lt;=Num_alternatives,INDEX('Scaling Functions'!$B$36:$B$43,INDEX(Inputs_matrix,B$1,$AA21)),"NA")</f>
        <v>NA</v>
      </c>
      <c r="C21" s="282" t="str">
        <f>IF(C$1&lt;=Num_alternatives,INDEX('Scaling Functions'!$B$36:$B$43,INDEX(Inputs_matrix,C$1,$AA21)),"NA")</f>
        <v>NA</v>
      </c>
      <c r="D21" s="282" t="str">
        <f>IF(D$1&lt;=Num_alternatives,INDEX('Scaling Functions'!$B$36:$B$43,INDEX(Inputs_matrix,D$1,$AA21)),"NA")</f>
        <v>NA</v>
      </c>
      <c r="E21" s="282" t="str">
        <f>IF(E$1&lt;=Num_alternatives,INDEX('Scaling Functions'!$B$36:$B$43,INDEX(Inputs_matrix,E$1,$AA21)),"NA")</f>
        <v>NA</v>
      </c>
      <c r="F21" s="282" t="str">
        <f>IF(F$1&lt;=Num_alternatives,INDEX('Scaling Functions'!$B$36:$B$43,INDEX(Inputs_matrix,F$1,$AA21)),"NA")</f>
        <v>NA</v>
      </c>
      <c r="G21" s="282" t="str">
        <f>IF(G$1&lt;=Num_alternatives,INDEX('Scaling Functions'!$B$36:$B$43,INDEX(Inputs_matrix,G$1,$AA21)),"NA")</f>
        <v>NA</v>
      </c>
      <c r="H21" s="282" t="str">
        <f>IF(H$1&lt;=Num_alternatives,INDEX('Scaling Functions'!$B$36:$B$43,INDEX(Inputs_matrix,H$1,$AA21)),"NA")</f>
        <v>NA</v>
      </c>
      <c r="I21" s="282" t="str">
        <f>IF(I$1&lt;=Num_alternatives,INDEX('Scaling Functions'!$B$36:$B$43,INDEX(Inputs_matrix,I$1,$AA21)),"NA")</f>
        <v>NA</v>
      </c>
      <c r="J21" s="282" t="str">
        <f>IF(J$1&lt;=Num_alternatives,INDEX('Scaling Functions'!$B$36:$B$43,INDEX(Inputs_matrix,J$1,$AA21)),"NA")</f>
        <v>NA</v>
      </c>
      <c r="K21" s="282" t="str">
        <f>IF(K$1&lt;=Num_alternatives,INDEX('Scaling Functions'!$B$36:$B$43,INDEX(Inputs_matrix,K$1,$AA21)),"NA")</f>
        <v>NA</v>
      </c>
      <c r="L21" s="282" t="str">
        <f>IF(L$1&lt;=Num_alternatives,INDEX('Scaling Functions'!$B$36:$B$43,INDEX(Inputs_matrix,L$1,$AA21)),"NA")</f>
        <v>NA</v>
      </c>
      <c r="M21" s="282" t="str">
        <f>IF(M$1&lt;=Num_alternatives,INDEX('Scaling Functions'!$B$36:$B$43,INDEX(Inputs_matrix,M$1,$AA21)),"NA")</f>
        <v>NA</v>
      </c>
      <c r="N21" s="282" t="str">
        <f>IF(N$1&lt;=Num_alternatives,INDEX('Scaling Functions'!$B$36:$B$43,INDEX(Inputs_matrix,N$1,$AA21)),"NA")</f>
        <v>NA</v>
      </c>
      <c r="O21" s="282" t="str">
        <f>IF(O$1&lt;=Num_alternatives,INDEX('Scaling Functions'!$B$36:$B$43,INDEX(Inputs_matrix,O$1,$AA21)),"NA")</f>
        <v>NA</v>
      </c>
      <c r="P21" s="282" t="str">
        <f>IF(P$1&lt;=Num_alternatives,INDEX('Scaling Functions'!$B$36:$B$43,INDEX(Inputs_matrix,P$1,$AA21)),"NA")</f>
        <v>NA</v>
      </c>
      <c r="Q21" s="282" t="str">
        <f>IF(Q$1&lt;=Num_alternatives,INDEX('Scaling Functions'!$B$36:$B$43,INDEX(Inputs_matrix,Q$1,$AA21)),"NA")</f>
        <v>NA</v>
      </c>
      <c r="R21" s="282" t="str">
        <f>IF(R$1&lt;=Num_alternatives,INDEX('Scaling Functions'!$B$36:$B$43,INDEX(Inputs_matrix,R$1,$AA21)),"NA")</f>
        <v>NA</v>
      </c>
      <c r="S21" s="282" t="str">
        <f>IF(S$1&lt;=Num_alternatives,INDEX('Scaling Functions'!$B$36:$B$43,INDEX(Inputs_matrix,S$1,$AA21)),"NA")</f>
        <v>NA</v>
      </c>
      <c r="T21" s="282" t="str">
        <f>IF(T$1&lt;=Num_alternatives,INDEX('Scaling Functions'!$B$36:$B$43,INDEX(Inputs_matrix,T$1,$AA21)),"NA")</f>
        <v>NA</v>
      </c>
      <c r="U21" s="283" t="str">
        <f>IF(U$1&lt;=Num_alternatives,INDEX('Scaling Functions'!$B$36:$B$43,INDEX(Inputs_matrix,U$1,$AA21)),"NA")</f>
        <v>NA</v>
      </c>
      <c r="V21" s="399"/>
      <c r="W21" s="45"/>
      <c r="X21" s="45"/>
      <c r="AA21" s="13">
        <v>9</v>
      </c>
    </row>
    <row r="22" spans="1:27" ht="24" customHeight="1">
      <c r="A22" s="409" t="s">
        <v>133</v>
      </c>
      <c r="B22" s="284" t="str">
        <f>IF(B$1&lt;=Num_alternatives,INDEX('Scaling Functions'!$B$47:$B$51,INDEX(Inputs_matrix,B$1,$AA22)),"NA")</f>
        <v>NA</v>
      </c>
      <c r="C22" s="284" t="str">
        <f>IF(C$1&lt;=Num_alternatives,INDEX('Scaling Functions'!$B$47:$B$51,INDEX(Inputs_matrix,C$1,$AA22)),"NA")</f>
        <v>NA</v>
      </c>
      <c r="D22" s="282" t="str">
        <f>IF(D$1&lt;=Num_alternatives,INDEX('Scaling Functions'!$B$47:$B$51,INDEX(Inputs_matrix,D$1,$AA22)),"NA")</f>
        <v>NA</v>
      </c>
      <c r="E22" s="282" t="str">
        <f>IF(E$1&lt;=Num_alternatives,INDEX('Scaling Functions'!$B$47:$B$51,INDEX(Inputs_matrix,E$1,$AA22)),"NA")</f>
        <v>NA</v>
      </c>
      <c r="F22" s="282" t="str">
        <f>IF(F$1&lt;=Num_alternatives,INDEX('Scaling Functions'!$B$47:$B$51,INDEX(Inputs_matrix,F$1,$AA22)),"NA")</f>
        <v>NA</v>
      </c>
      <c r="G22" s="282" t="str">
        <f>IF(G$1&lt;=Num_alternatives,INDEX('Scaling Functions'!$B$47:$B$51,INDEX(Inputs_matrix,G$1,$AA22)),"NA")</f>
        <v>NA</v>
      </c>
      <c r="H22" s="282" t="str">
        <f>IF(H$1&lt;=Num_alternatives,INDEX('Scaling Functions'!$B$47:$B$51,INDEX(Inputs_matrix,H$1,$AA22)),"NA")</f>
        <v>NA</v>
      </c>
      <c r="I22" s="282" t="str">
        <f>IF(I$1&lt;=Num_alternatives,INDEX('Scaling Functions'!$B$47:$B$51,INDEX(Inputs_matrix,I$1,$AA22)),"NA")</f>
        <v>NA</v>
      </c>
      <c r="J22" s="282" t="str">
        <f>IF(J$1&lt;=Num_alternatives,INDEX('Scaling Functions'!$B$47:$B$51,INDEX(Inputs_matrix,J$1,$AA22)),"NA")</f>
        <v>NA</v>
      </c>
      <c r="K22" s="282" t="str">
        <f>IF(K$1&lt;=Num_alternatives,INDEX('Scaling Functions'!$B$47:$B$51,INDEX(Inputs_matrix,K$1,$AA22)),"NA")</f>
        <v>NA</v>
      </c>
      <c r="L22" s="282" t="str">
        <f>IF(L$1&lt;=Num_alternatives,INDEX('Scaling Functions'!$B$47:$B$51,INDEX(Inputs_matrix,L$1,$AA22)),"NA")</f>
        <v>NA</v>
      </c>
      <c r="M22" s="282" t="str">
        <f>IF(M$1&lt;=Num_alternatives,INDEX('Scaling Functions'!$B$47:$B$51,INDEX(Inputs_matrix,M$1,$AA22)),"NA")</f>
        <v>NA</v>
      </c>
      <c r="N22" s="282" t="str">
        <f>IF(N$1&lt;=Num_alternatives,INDEX('Scaling Functions'!$B$47:$B$51,INDEX(Inputs_matrix,N$1,$AA22)),"NA")</f>
        <v>NA</v>
      </c>
      <c r="O22" s="282" t="str">
        <f>IF(O$1&lt;=Num_alternatives,INDEX('Scaling Functions'!$B$47:$B$51,INDEX(Inputs_matrix,O$1,$AA22)),"NA")</f>
        <v>NA</v>
      </c>
      <c r="P22" s="282" t="str">
        <f>IF(P$1&lt;=Num_alternatives,INDEX('Scaling Functions'!$B$47:$B$51,INDEX(Inputs_matrix,P$1,$AA22)),"NA")</f>
        <v>NA</v>
      </c>
      <c r="Q22" s="282" t="str">
        <f>IF(Q$1&lt;=Num_alternatives,INDEX('Scaling Functions'!$B$47:$B$51,INDEX(Inputs_matrix,Q$1,$AA22)),"NA")</f>
        <v>NA</v>
      </c>
      <c r="R22" s="282" t="str">
        <f>IF(R$1&lt;=Num_alternatives,INDEX('Scaling Functions'!$B$47:$B$51,INDEX(Inputs_matrix,R$1,$AA22)),"NA")</f>
        <v>NA</v>
      </c>
      <c r="S22" s="282" t="str">
        <f>IF(S$1&lt;=Num_alternatives,INDEX('Scaling Functions'!$B$47:$B$51,INDEX(Inputs_matrix,S$1,$AA22)),"NA")</f>
        <v>NA</v>
      </c>
      <c r="T22" s="282" t="str">
        <f>IF(T$1&lt;=Num_alternatives,INDEX('Scaling Functions'!$B$47:$B$51,INDEX(Inputs_matrix,T$1,$AA22)),"NA")</f>
        <v>NA</v>
      </c>
      <c r="U22" s="283" t="str">
        <f>IF(U$1&lt;=Num_alternatives,INDEX('Scaling Functions'!$B$47:$B$51,INDEX(Inputs_matrix,U$1,$AA22)),"NA")</f>
        <v>NA</v>
      </c>
      <c r="V22" s="399"/>
      <c r="W22" s="45"/>
      <c r="X22" s="45"/>
      <c r="AA22" s="13">
        <v>10</v>
      </c>
    </row>
    <row r="23" spans="1:24" ht="24" customHeight="1">
      <c r="A23" s="410" t="s">
        <v>366</v>
      </c>
      <c r="B23" s="282"/>
      <c r="C23" s="282"/>
      <c r="D23" s="282"/>
      <c r="E23" s="282"/>
      <c r="F23" s="282"/>
      <c r="G23" s="282"/>
      <c r="H23" s="282"/>
      <c r="I23" s="282"/>
      <c r="J23" s="282"/>
      <c r="K23" s="282"/>
      <c r="L23" s="282"/>
      <c r="M23" s="282"/>
      <c r="N23" s="282"/>
      <c r="O23" s="282"/>
      <c r="P23" s="282"/>
      <c r="Q23" s="282"/>
      <c r="R23" s="282"/>
      <c r="S23" s="282"/>
      <c r="T23" s="282"/>
      <c r="U23" s="283"/>
      <c r="V23" s="399"/>
      <c r="W23" s="45"/>
      <c r="X23" s="45"/>
    </row>
    <row r="24" spans="1:27" ht="36" customHeight="1">
      <c r="A24" s="409" t="s">
        <v>295</v>
      </c>
      <c r="B24" s="282" t="str">
        <f>IF(B$1&lt;=Num_alternatives,INDEX('Scaling Functions'!$B$3:$B$10,INDEX(Inputs_matrix,B$1,$AA24)),"NA")</f>
        <v>Relatively likely (e.g., 1 in 100)</v>
      </c>
      <c r="C24" s="282" t="str">
        <f>IF(C$1&lt;=Num_alternatives,INDEX('Scaling Functions'!$B$3:$B$10,INDEX(Inputs_matrix,C$1,$AA24)),"NA")</f>
        <v>Extremely unlikely (e.g., 1 in 1,000,000)</v>
      </c>
      <c r="D24" s="282" t="str">
        <f>IF(D$1&lt;=Num_alternatives,INDEX('Scaling Functions'!$B$3:$B$10,INDEX(Inputs_matrix,D$1,$AA24)),"NA")</f>
        <v>Extremely unlikely (e.g., 1 in 1,000,000)</v>
      </c>
      <c r="E24" s="282" t="str">
        <f>IF(E$1&lt;=Num_alternatives,INDEX('Scaling Functions'!$B$3:$B$10,INDEX(Inputs_matrix,E$1,$AA24)),"NA")</f>
        <v>Extremely unlikely (e.g., 1 in 1,000,000)</v>
      </c>
      <c r="F24" s="282" t="str">
        <f>IF(F$1&lt;=Num_alternatives,INDEX('Scaling Functions'!$B$3:$B$10,INDEX(Inputs_matrix,F$1,$AA24)),"NA")</f>
        <v>Extremely unlikely (e.g., 1 in 1,000,000)</v>
      </c>
      <c r="G24" s="282" t="str">
        <f>IF(G$1&lt;=Num_alternatives,INDEX('Scaling Functions'!$B$3:$B$10,INDEX(Inputs_matrix,G$1,$AA24)),"NA")</f>
        <v>Extremely unlikely (e.g., 1 in 1,000,000)</v>
      </c>
      <c r="H24" s="282" t="str">
        <f>IF(H$1&lt;=Num_alternatives,INDEX('Scaling Functions'!$B$3:$B$10,INDEX(Inputs_matrix,H$1,$AA24)),"NA")</f>
        <v>Extremely unlikely (e.g., 1 in 1,000,000)</v>
      </c>
      <c r="I24" s="282" t="str">
        <f>IF(I$1&lt;=Num_alternatives,INDEX('Scaling Functions'!$B$3:$B$10,INDEX(Inputs_matrix,I$1,$AA24)),"NA")</f>
        <v>Extremely unlikely (e.g., 1 in 1,000,000)</v>
      </c>
      <c r="J24" s="282" t="str">
        <f>IF(J$1&lt;=Num_alternatives,INDEX('Scaling Functions'!$B$3:$B$10,INDEX(Inputs_matrix,J$1,$AA24)),"NA")</f>
        <v>Extremely unlikely (e.g., 1 in 1,000,000)</v>
      </c>
      <c r="K24" s="282" t="str">
        <f>IF(K$1&lt;=Num_alternatives,INDEX('Scaling Functions'!$B$3:$B$10,INDEX(Inputs_matrix,K$1,$AA24)),"NA")</f>
        <v>NA</v>
      </c>
      <c r="L24" s="282" t="str">
        <f>IF(L$1&lt;=Num_alternatives,INDEX('Scaling Functions'!$B$3:$B$10,INDEX(Inputs_matrix,L$1,$AA24)),"NA")</f>
        <v>NA</v>
      </c>
      <c r="M24" s="282" t="str">
        <f>IF(M$1&lt;=Num_alternatives,INDEX('Scaling Functions'!$B$3:$B$10,INDEX(Inputs_matrix,M$1,$AA24)),"NA")</f>
        <v>NA</v>
      </c>
      <c r="N24" s="282" t="str">
        <f>IF(N$1&lt;=Num_alternatives,INDEX('Scaling Functions'!$B$3:$B$10,INDEX(Inputs_matrix,N$1,$AA24)),"NA")</f>
        <v>NA</v>
      </c>
      <c r="O24" s="282" t="str">
        <f>IF(O$1&lt;=Num_alternatives,INDEX('Scaling Functions'!$B$3:$B$10,INDEX(Inputs_matrix,O$1,$AA24)),"NA")</f>
        <v>NA</v>
      </c>
      <c r="P24" s="282" t="str">
        <f>IF(P$1&lt;=Num_alternatives,INDEX('Scaling Functions'!$B$3:$B$10,INDEX(Inputs_matrix,P$1,$AA24)),"NA")</f>
        <v>NA</v>
      </c>
      <c r="Q24" s="282" t="str">
        <f>IF(Q$1&lt;=Num_alternatives,INDEX('Scaling Functions'!$B$3:$B$10,INDEX(Inputs_matrix,Q$1,$AA24)),"NA")</f>
        <v>NA</v>
      </c>
      <c r="R24" s="282" t="str">
        <f>IF(R$1&lt;=Num_alternatives,INDEX('Scaling Functions'!$B$3:$B$10,INDEX(Inputs_matrix,R$1,$AA24)),"NA")</f>
        <v>NA</v>
      </c>
      <c r="S24" s="282" t="str">
        <f>IF(S$1&lt;=Num_alternatives,INDEX('Scaling Functions'!$B$3:$B$10,INDEX(Inputs_matrix,S$1,$AA24)),"NA")</f>
        <v>NA</v>
      </c>
      <c r="T24" s="282" t="str">
        <f>IF(T$1&lt;=Num_alternatives,INDEX('Scaling Functions'!$B$3:$B$10,INDEX(Inputs_matrix,T$1,$AA24)),"NA")</f>
        <v>NA</v>
      </c>
      <c r="U24" s="283" t="str">
        <f>IF(U$1&lt;=Num_alternatives,INDEX('Scaling Functions'!$B$3:$B$10,INDEX(Inputs_matrix,U$1,$AA24)),"NA")</f>
        <v>NA</v>
      </c>
      <c r="V24" s="399"/>
      <c r="W24" s="45"/>
      <c r="X24" s="45"/>
      <c r="AA24" s="13">
        <v>11</v>
      </c>
    </row>
    <row r="25" spans="1:27" ht="36" customHeight="1">
      <c r="A25" s="409" t="s">
        <v>131</v>
      </c>
      <c r="B25" s="282" t="str">
        <f>IF(B$1&lt;=Num_alternatives,INDEX('Scaling Functions'!$B$14:$B$19,INDEX(Inputs_matrix,B$1,$AA25)),"NA")</f>
        <v>Moderate: roughly 100 people</v>
      </c>
      <c r="C25" s="282" t="str">
        <f>IF(C$1&lt;=Num_alternatives,INDEX('Scaling Functions'!$B$14:$B$19,INDEX(Inputs_matrix,C$1,$AA25)),"NA")</f>
        <v>Very small: 1-2 people</v>
      </c>
      <c r="D25" s="282" t="str">
        <f>IF(D$1&lt;=Num_alternatives,INDEX('Scaling Functions'!$B$14:$B$19,INDEX(Inputs_matrix,D$1,$AA25)),"NA")</f>
        <v>Very small: 1-2 people</v>
      </c>
      <c r="E25" s="282" t="str">
        <f>IF(E$1&lt;=Num_alternatives,INDEX('Scaling Functions'!$B$14:$B$19,INDEX(Inputs_matrix,E$1,$AA25)),"NA")</f>
        <v>Very small: 1-2 people</v>
      </c>
      <c r="F25" s="282" t="str">
        <f>IF(F$1&lt;=Num_alternatives,INDEX('Scaling Functions'!$B$14:$B$19,INDEX(Inputs_matrix,F$1,$AA25)),"NA")</f>
        <v>Very small: 1-2 people</v>
      </c>
      <c r="G25" s="282" t="str">
        <f>IF(G$1&lt;=Num_alternatives,INDEX('Scaling Functions'!$B$14:$B$19,INDEX(Inputs_matrix,G$1,$AA25)),"NA")</f>
        <v>Very small: 1-2 people</v>
      </c>
      <c r="H25" s="282" t="str">
        <f>IF(H$1&lt;=Num_alternatives,INDEX('Scaling Functions'!$B$14:$B$19,INDEX(Inputs_matrix,H$1,$AA25)),"NA")</f>
        <v>Very small: 1-2 people</v>
      </c>
      <c r="I25" s="282" t="str">
        <f>IF(I$1&lt;=Num_alternatives,INDEX('Scaling Functions'!$B$14:$B$19,INDEX(Inputs_matrix,I$1,$AA25)),"NA")</f>
        <v>Very small: 1-2 people</v>
      </c>
      <c r="J25" s="282" t="str">
        <f>IF(J$1&lt;=Num_alternatives,INDEX('Scaling Functions'!$B$14:$B$19,INDEX(Inputs_matrix,J$1,$AA25)),"NA")</f>
        <v>Very small: 1-2 people</v>
      </c>
      <c r="K25" s="282" t="str">
        <f>IF(K$1&lt;=Num_alternatives,INDEX('Scaling Functions'!$B$14:$B$19,INDEX(Inputs_matrix,K$1,$AA25)),"NA")</f>
        <v>NA</v>
      </c>
      <c r="L25" s="282" t="str">
        <f>IF(L$1&lt;=Num_alternatives,INDEX('Scaling Functions'!$B$14:$B$19,INDEX(Inputs_matrix,L$1,$AA25)),"NA")</f>
        <v>NA</v>
      </c>
      <c r="M25" s="282" t="str">
        <f>IF(M$1&lt;=Num_alternatives,INDEX('Scaling Functions'!$B$14:$B$19,INDEX(Inputs_matrix,M$1,$AA25)),"NA")</f>
        <v>NA</v>
      </c>
      <c r="N25" s="282" t="str">
        <f>IF(N$1&lt;=Num_alternatives,INDEX('Scaling Functions'!$B$14:$B$19,INDEX(Inputs_matrix,N$1,$AA25)),"NA")</f>
        <v>NA</v>
      </c>
      <c r="O25" s="282" t="str">
        <f>IF(O$1&lt;=Num_alternatives,INDEX('Scaling Functions'!$B$14:$B$19,INDEX(Inputs_matrix,O$1,$AA25)),"NA")</f>
        <v>NA</v>
      </c>
      <c r="P25" s="282" t="str">
        <f>IF(P$1&lt;=Num_alternatives,INDEX('Scaling Functions'!$B$14:$B$19,INDEX(Inputs_matrix,P$1,$AA25)),"NA")</f>
        <v>NA</v>
      </c>
      <c r="Q25" s="282" t="str">
        <f>IF(Q$1&lt;=Num_alternatives,INDEX('Scaling Functions'!$B$14:$B$19,INDEX(Inputs_matrix,Q$1,$AA25)),"NA")</f>
        <v>NA</v>
      </c>
      <c r="R25" s="282" t="str">
        <f>IF(R$1&lt;=Num_alternatives,INDEX('Scaling Functions'!$B$14:$B$19,INDEX(Inputs_matrix,R$1,$AA25)),"NA")</f>
        <v>NA</v>
      </c>
      <c r="S25" s="282" t="str">
        <f>IF(S$1&lt;=Num_alternatives,INDEX('Scaling Functions'!$B$14:$B$19,INDEX(Inputs_matrix,S$1,$AA25)),"NA")</f>
        <v>NA</v>
      </c>
      <c r="T25" s="282" t="str">
        <f>IF(T$1&lt;=Num_alternatives,INDEX('Scaling Functions'!$B$14:$B$19,INDEX(Inputs_matrix,T$1,$AA25)),"NA")</f>
        <v>NA</v>
      </c>
      <c r="U25" s="283" t="str">
        <f>IF(U$1&lt;=Num_alternatives,INDEX('Scaling Functions'!$B$14:$B$19,INDEX(Inputs_matrix,U$1,$AA25)),"NA")</f>
        <v>NA</v>
      </c>
      <c r="V25" s="399"/>
      <c r="W25" s="45"/>
      <c r="X25" s="45"/>
      <c r="AA25" s="13">
        <v>12</v>
      </c>
    </row>
    <row r="26" spans="1:27" ht="24" customHeight="1">
      <c r="A26" s="409" t="s">
        <v>132</v>
      </c>
      <c r="B26" s="282" t="str">
        <f>IF(B$1&lt;=Num_alternatives,INDEX('Scaling Functions'!$B$25:$B$31,INDEX(Inputs_matrix,B$1,$AA26)),"NA")</f>
        <v>10 to 20 years</v>
      </c>
      <c r="C26" s="282" t="str">
        <f>IF(C$1&lt;=Num_alternatives,INDEX('Scaling Functions'!$B$25:$B$31,INDEX(Inputs_matrix,C$1,$AA26)),"NA")</f>
        <v>10 to 20 years</v>
      </c>
      <c r="D26" s="282" t="str">
        <f>IF(D$1&lt;=Num_alternatives,INDEX('Scaling Functions'!$B$25:$B$31,INDEX(Inputs_matrix,D$1,$AA26)),"NA")</f>
        <v>10 to 20 years</v>
      </c>
      <c r="E26" s="282" t="str">
        <f>IF(E$1&lt;=Num_alternatives,INDEX('Scaling Functions'!$B$25:$B$31,INDEX(Inputs_matrix,E$1,$AA26)),"NA")</f>
        <v>10 to 20 years</v>
      </c>
      <c r="F26" s="282" t="str">
        <f>IF(F$1&lt;=Num_alternatives,INDEX('Scaling Functions'!$B$25:$B$31,INDEX(Inputs_matrix,F$1,$AA26)),"NA")</f>
        <v>10 to 20 years</v>
      </c>
      <c r="G26" s="282" t="str">
        <f>IF(G$1&lt;=Num_alternatives,INDEX('Scaling Functions'!$B$25:$B$31,INDEX(Inputs_matrix,G$1,$AA26)),"NA")</f>
        <v>10 to 20 years</v>
      </c>
      <c r="H26" s="282" t="str">
        <f>IF(H$1&lt;=Num_alternatives,INDEX('Scaling Functions'!$B$25:$B$31,INDEX(Inputs_matrix,H$1,$AA26)),"NA")</f>
        <v>10 to 20 years</v>
      </c>
      <c r="I26" s="282" t="str">
        <f>IF(I$1&lt;=Num_alternatives,INDEX('Scaling Functions'!$B$25:$B$31,INDEX(Inputs_matrix,I$1,$AA26)),"NA")</f>
        <v>10 to 20 years</v>
      </c>
      <c r="J26" s="282" t="str">
        <f>IF(J$1&lt;=Num_alternatives,INDEX('Scaling Functions'!$B$25:$B$31,INDEX(Inputs_matrix,J$1,$AA26)),"NA")</f>
        <v>10 to 20 years</v>
      </c>
      <c r="K26" s="282" t="str">
        <f>IF(K$1&lt;=Num_alternatives,INDEX('Scaling Functions'!$B$25:$B$31,INDEX(Inputs_matrix,K$1,$AA26)),"NA")</f>
        <v>NA</v>
      </c>
      <c r="L26" s="282" t="str">
        <f>IF(L$1&lt;=Num_alternatives,INDEX('Scaling Functions'!$B$25:$B$31,INDEX(Inputs_matrix,L$1,$AA26)),"NA")</f>
        <v>NA</v>
      </c>
      <c r="M26" s="282" t="str">
        <f>IF(M$1&lt;=Num_alternatives,INDEX('Scaling Functions'!$B$25:$B$31,INDEX(Inputs_matrix,M$1,$AA26)),"NA")</f>
        <v>NA</v>
      </c>
      <c r="N26" s="282" t="str">
        <f>IF(N$1&lt;=Num_alternatives,INDEX('Scaling Functions'!$B$25:$B$31,INDEX(Inputs_matrix,N$1,$AA26)),"NA")</f>
        <v>NA</v>
      </c>
      <c r="O26" s="282" t="str">
        <f>IF(O$1&lt;=Num_alternatives,INDEX('Scaling Functions'!$B$25:$B$31,INDEX(Inputs_matrix,O$1,$AA26)),"NA")</f>
        <v>NA</v>
      </c>
      <c r="P26" s="282" t="str">
        <f>IF(P$1&lt;=Num_alternatives,INDEX('Scaling Functions'!$B$25:$B$31,INDEX(Inputs_matrix,P$1,$AA26)),"NA")</f>
        <v>NA</v>
      </c>
      <c r="Q26" s="282" t="str">
        <f>IF(Q$1&lt;=Num_alternatives,INDEX('Scaling Functions'!$B$25:$B$31,INDEX(Inputs_matrix,Q$1,$AA26)),"NA")</f>
        <v>NA</v>
      </c>
      <c r="R26" s="282" t="str">
        <f>IF(R$1&lt;=Num_alternatives,INDEX('Scaling Functions'!$B$25:$B$31,INDEX(Inputs_matrix,R$1,$AA26)),"NA")</f>
        <v>NA</v>
      </c>
      <c r="S26" s="282" t="str">
        <f>IF(S$1&lt;=Num_alternatives,INDEX('Scaling Functions'!$B$25:$B$31,INDEX(Inputs_matrix,S$1,$AA26)),"NA")</f>
        <v>NA</v>
      </c>
      <c r="T26" s="282" t="str">
        <f>IF(T$1&lt;=Num_alternatives,INDEX('Scaling Functions'!$B$25:$B$31,INDEX(Inputs_matrix,T$1,$AA26)),"NA")</f>
        <v>NA</v>
      </c>
      <c r="U26" s="283" t="str">
        <f>IF(U$1&lt;=Num_alternatives,INDEX('Scaling Functions'!$B$25:$B$31,INDEX(Inputs_matrix,U$1,$AA26)),"NA")</f>
        <v>NA</v>
      </c>
      <c r="V26" s="399"/>
      <c r="W26" s="45"/>
      <c r="X26" s="45"/>
      <c r="AA26" s="13">
        <v>13</v>
      </c>
    </row>
    <row r="27" spans="1:27" ht="36" customHeight="1">
      <c r="A27" s="409" t="s">
        <v>296</v>
      </c>
      <c r="B27" s="282" t="str">
        <f>IF(B$1&lt;=Num_alternatives,INDEX('Scaling Functions'!$B$36:$B$43,INDEX(Inputs_matrix,B$1,$AA27)),"NA")</f>
        <v>NA</v>
      </c>
      <c r="C27" s="282" t="str">
        <f>IF(C$1&lt;=Num_alternatives,INDEX('Scaling Functions'!$B$36:$B$43,INDEX(Inputs_matrix,C$1,$AA27)),"NA")</f>
        <v>NA</v>
      </c>
      <c r="D27" s="282" t="str">
        <f>IF(D$1&lt;=Num_alternatives,INDEX('Scaling Functions'!$B$36:$B$43,INDEX(Inputs_matrix,D$1,$AA27)),"NA")</f>
        <v>NA</v>
      </c>
      <c r="E27" s="282" t="str">
        <f>IF(E$1&lt;=Num_alternatives,INDEX('Scaling Functions'!$B$36:$B$43,INDEX(Inputs_matrix,E$1,$AA27)),"NA")</f>
        <v>NA</v>
      </c>
      <c r="F27" s="282" t="str">
        <f>IF(F$1&lt;=Num_alternatives,INDEX('Scaling Functions'!$B$36:$B$43,INDEX(Inputs_matrix,F$1,$AA27)),"NA")</f>
        <v>NA</v>
      </c>
      <c r="G27" s="282" t="str">
        <f>IF(G$1&lt;=Num_alternatives,INDEX('Scaling Functions'!$B$36:$B$43,INDEX(Inputs_matrix,G$1,$AA27)),"NA")</f>
        <v>NA</v>
      </c>
      <c r="H27" s="282" t="str">
        <f>IF(H$1&lt;=Num_alternatives,INDEX('Scaling Functions'!$B$36:$B$43,INDEX(Inputs_matrix,H$1,$AA27)),"NA")</f>
        <v>NA</v>
      </c>
      <c r="I27" s="282" t="str">
        <f>IF(I$1&lt;=Num_alternatives,INDEX('Scaling Functions'!$B$36:$B$43,INDEX(Inputs_matrix,I$1,$AA27)),"NA")</f>
        <v>NA</v>
      </c>
      <c r="J27" s="282" t="str">
        <f>IF(J$1&lt;=Num_alternatives,INDEX('Scaling Functions'!$B$36:$B$43,INDEX(Inputs_matrix,J$1,$AA27)),"NA")</f>
        <v>NA</v>
      </c>
      <c r="K27" s="282" t="str">
        <f>IF(K$1&lt;=Num_alternatives,INDEX('Scaling Functions'!$B$36:$B$43,INDEX(Inputs_matrix,K$1,$AA27)),"NA")</f>
        <v>NA</v>
      </c>
      <c r="L27" s="282" t="str">
        <f>IF(L$1&lt;=Num_alternatives,INDEX('Scaling Functions'!$B$36:$B$43,INDEX(Inputs_matrix,L$1,$AA27)),"NA")</f>
        <v>NA</v>
      </c>
      <c r="M27" s="282" t="str">
        <f>IF(M$1&lt;=Num_alternatives,INDEX('Scaling Functions'!$B$36:$B$43,INDEX(Inputs_matrix,M$1,$AA27)),"NA")</f>
        <v>NA</v>
      </c>
      <c r="N27" s="282" t="str">
        <f>IF(N$1&lt;=Num_alternatives,INDEX('Scaling Functions'!$B$36:$B$43,INDEX(Inputs_matrix,N$1,$AA27)),"NA")</f>
        <v>NA</v>
      </c>
      <c r="O27" s="282" t="str">
        <f>IF(O$1&lt;=Num_alternatives,INDEX('Scaling Functions'!$B$36:$B$43,INDEX(Inputs_matrix,O$1,$AA27)),"NA")</f>
        <v>NA</v>
      </c>
      <c r="P27" s="282" t="str">
        <f>IF(P$1&lt;=Num_alternatives,INDEX('Scaling Functions'!$B$36:$B$43,INDEX(Inputs_matrix,P$1,$AA27)),"NA")</f>
        <v>NA</v>
      </c>
      <c r="Q27" s="282" t="str">
        <f>IF(Q$1&lt;=Num_alternatives,INDEX('Scaling Functions'!$B$36:$B$43,INDEX(Inputs_matrix,Q$1,$AA27)),"NA")</f>
        <v>NA</v>
      </c>
      <c r="R27" s="282" t="str">
        <f>IF(R$1&lt;=Num_alternatives,INDEX('Scaling Functions'!$B$36:$B$43,INDEX(Inputs_matrix,R$1,$AA27)),"NA")</f>
        <v>NA</v>
      </c>
      <c r="S27" s="282" t="str">
        <f>IF(S$1&lt;=Num_alternatives,INDEX('Scaling Functions'!$B$36:$B$43,INDEX(Inputs_matrix,S$1,$AA27)),"NA")</f>
        <v>NA</v>
      </c>
      <c r="T27" s="282" t="str">
        <f>IF(T$1&lt;=Num_alternatives,INDEX('Scaling Functions'!$B$36:$B$43,INDEX(Inputs_matrix,T$1,$AA27)),"NA")</f>
        <v>NA</v>
      </c>
      <c r="U27" s="283" t="str">
        <f>IF(U$1&lt;=Num_alternatives,INDEX('Scaling Functions'!$B$36:$B$43,INDEX(Inputs_matrix,U$1,$AA27)),"NA")</f>
        <v>NA</v>
      </c>
      <c r="V27" s="399"/>
      <c r="W27" s="45"/>
      <c r="X27" s="45"/>
      <c r="AA27" s="13">
        <v>14</v>
      </c>
    </row>
    <row r="28" spans="1:27" ht="24" customHeight="1">
      <c r="A28" s="409" t="s">
        <v>133</v>
      </c>
      <c r="B28" s="282" t="str">
        <f>IF(B$1&lt;=Num_alternatives,INDEX('Scaling Functions'!$B$47:$B$51,INDEX(Inputs_matrix,B$1,$AA28)),"NA")</f>
        <v>NA</v>
      </c>
      <c r="C28" s="282" t="str">
        <f>IF(C$1&lt;=Num_alternatives,INDEX('Scaling Functions'!$B$47:$B$51,INDEX(Inputs_matrix,C$1,$AA28)),"NA")</f>
        <v>NA</v>
      </c>
      <c r="D28" s="282" t="str">
        <f>IF(D$1&lt;=Num_alternatives,INDEX('Scaling Functions'!$B$47:$B$51,INDEX(Inputs_matrix,D$1,$AA28)),"NA")</f>
        <v>NA</v>
      </c>
      <c r="E28" s="282" t="str">
        <f>IF(E$1&lt;=Num_alternatives,INDEX('Scaling Functions'!$B$47:$B$51,INDEX(Inputs_matrix,E$1,$AA28)),"NA")</f>
        <v>NA</v>
      </c>
      <c r="F28" s="282" t="str">
        <f>IF(F$1&lt;=Num_alternatives,INDEX('Scaling Functions'!$B$47:$B$51,INDEX(Inputs_matrix,F$1,$AA28)),"NA")</f>
        <v>NA</v>
      </c>
      <c r="G28" s="282" t="str">
        <f>IF(G$1&lt;=Num_alternatives,INDEX('Scaling Functions'!$B$47:$B$51,INDEX(Inputs_matrix,G$1,$AA28)),"NA")</f>
        <v>NA</v>
      </c>
      <c r="H28" s="282" t="str">
        <f>IF(H$1&lt;=Num_alternatives,INDEX('Scaling Functions'!$B$47:$B$51,INDEX(Inputs_matrix,H$1,$AA28)),"NA")</f>
        <v>NA</v>
      </c>
      <c r="I28" s="282" t="str">
        <f>IF(I$1&lt;=Num_alternatives,INDEX('Scaling Functions'!$B$47:$B$51,INDEX(Inputs_matrix,I$1,$AA28)),"NA")</f>
        <v>NA</v>
      </c>
      <c r="J28" s="282" t="str">
        <f>IF(J$1&lt;=Num_alternatives,INDEX('Scaling Functions'!$B$47:$B$51,INDEX(Inputs_matrix,J$1,$AA28)),"NA")</f>
        <v>NA</v>
      </c>
      <c r="K28" s="282" t="str">
        <f>IF(K$1&lt;=Num_alternatives,INDEX('Scaling Functions'!$B$47:$B$51,INDEX(Inputs_matrix,K$1,$AA28)),"NA")</f>
        <v>NA</v>
      </c>
      <c r="L28" s="282" t="str">
        <f>IF(L$1&lt;=Num_alternatives,INDEX('Scaling Functions'!$B$47:$B$51,INDEX(Inputs_matrix,L$1,$AA28)),"NA")</f>
        <v>NA</v>
      </c>
      <c r="M28" s="282" t="str">
        <f>IF(M$1&lt;=Num_alternatives,INDEX('Scaling Functions'!$B$47:$B$51,INDEX(Inputs_matrix,M$1,$AA28)),"NA")</f>
        <v>NA</v>
      </c>
      <c r="N28" s="282" t="str">
        <f>IF(N$1&lt;=Num_alternatives,INDEX('Scaling Functions'!$B$47:$B$51,INDEX(Inputs_matrix,N$1,$AA28)),"NA")</f>
        <v>NA</v>
      </c>
      <c r="O28" s="282" t="str">
        <f>IF(O$1&lt;=Num_alternatives,INDEX('Scaling Functions'!$B$47:$B$51,INDEX(Inputs_matrix,O$1,$AA28)),"NA")</f>
        <v>NA</v>
      </c>
      <c r="P28" s="282" t="str">
        <f>IF(P$1&lt;=Num_alternatives,INDEX('Scaling Functions'!$B$47:$B$51,INDEX(Inputs_matrix,P$1,$AA28)),"NA")</f>
        <v>NA</v>
      </c>
      <c r="Q28" s="282" t="str">
        <f>IF(Q$1&lt;=Num_alternatives,INDEX('Scaling Functions'!$B$47:$B$51,INDEX(Inputs_matrix,Q$1,$AA28)),"NA")</f>
        <v>NA</v>
      </c>
      <c r="R28" s="282" t="str">
        <f>IF(R$1&lt;=Num_alternatives,INDEX('Scaling Functions'!$B$47:$B$51,INDEX(Inputs_matrix,R$1,$AA28)),"NA")</f>
        <v>NA</v>
      </c>
      <c r="S28" s="282" t="str">
        <f>IF(S$1&lt;=Num_alternatives,INDEX('Scaling Functions'!$B$47:$B$51,INDEX(Inputs_matrix,S$1,$AA28)),"NA")</f>
        <v>NA</v>
      </c>
      <c r="T28" s="282" t="str">
        <f>IF(T$1&lt;=Num_alternatives,INDEX('Scaling Functions'!$B$47:$B$51,INDEX(Inputs_matrix,T$1,$AA28)),"NA")</f>
        <v>NA</v>
      </c>
      <c r="U28" s="283" t="str">
        <f>IF(U$1&lt;=Num_alternatives,INDEX('Scaling Functions'!$B$47:$B$51,INDEX(Inputs_matrix,U$1,$AA28)),"NA")</f>
        <v>NA</v>
      </c>
      <c r="V28" s="399"/>
      <c r="W28" s="45"/>
      <c r="X28" s="45"/>
      <c r="AA28" s="13">
        <v>15</v>
      </c>
    </row>
    <row r="29" spans="1:24" ht="24" customHeight="1">
      <c r="A29" s="410" t="s">
        <v>367</v>
      </c>
      <c r="B29" s="282"/>
      <c r="C29" s="282"/>
      <c r="D29" s="282"/>
      <c r="E29" s="282"/>
      <c r="F29" s="282"/>
      <c r="G29" s="282"/>
      <c r="H29" s="282"/>
      <c r="I29" s="282"/>
      <c r="J29" s="282"/>
      <c r="K29" s="282"/>
      <c r="L29" s="282"/>
      <c r="M29" s="282"/>
      <c r="N29" s="282"/>
      <c r="O29" s="282"/>
      <c r="P29" s="282"/>
      <c r="Q29" s="282"/>
      <c r="R29" s="282"/>
      <c r="S29" s="282"/>
      <c r="T29" s="282"/>
      <c r="U29" s="283"/>
      <c r="V29" s="399"/>
      <c r="W29" s="45"/>
      <c r="X29" s="45"/>
    </row>
    <row r="30" spans="1:27" ht="36" customHeight="1">
      <c r="A30" s="409" t="s">
        <v>295</v>
      </c>
      <c r="B30" s="282" t="str">
        <f>IF(B$1&lt;=Num_alternatives,INDEX('Scaling Functions'!$B$3:$B$10,INDEX(Inputs_matrix,B$1,$AA30)),"NA")</f>
        <v>NA</v>
      </c>
      <c r="C30" s="282" t="str">
        <f>IF(C$1&lt;=Num_alternatives,INDEX('Scaling Functions'!$B$3:$B$10,INDEX(Inputs_matrix,C$1,$AA30)),"NA")</f>
        <v>NA</v>
      </c>
      <c r="D30" s="282" t="str">
        <f>IF(D$1&lt;=Num_alternatives,INDEX('Scaling Functions'!$B$3:$B$10,INDEX(Inputs_matrix,D$1,$AA30)),"NA")</f>
        <v>NA</v>
      </c>
      <c r="E30" s="282" t="str">
        <f>IF(E$1&lt;=Num_alternatives,INDEX('Scaling Functions'!$B$3:$B$10,INDEX(Inputs_matrix,E$1,$AA30)),"NA")</f>
        <v>NA</v>
      </c>
      <c r="F30" s="282" t="str">
        <f>IF(F$1&lt;=Num_alternatives,INDEX('Scaling Functions'!$B$3:$B$10,INDEX(Inputs_matrix,F$1,$AA30)),"NA")</f>
        <v>NA</v>
      </c>
      <c r="G30" s="282" t="str">
        <f>IF(G$1&lt;=Num_alternatives,INDEX('Scaling Functions'!$B$3:$B$10,INDEX(Inputs_matrix,G$1,$AA30)),"NA")</f>
        <v>NA</v>
      </c>
      <c r="H30" s="282" t="str">
        <f>IF(H$1&lt;=Num_alternatives,INDEX('Scaling Functions'!$B$3:$B$10,INDEX(Inputs_matrix,H$1,$AA30)),"NA")</f>
        <v>NA</v>
      </c>
      <c r="I30" s="282" t="str">
        <f>IF(I$1&lt;=Num_alternatives,INDEX('Scaling Functions'!$B$3:$B$10,INDEX(Inputs_matrix,I$1,$AA30)),"NA")</f>
        <v>NA</v>
      </c>
      <c r="J30" s="282" t="str">
        <f>IF(J$1&lt;=Num_alternatives,INDEX('Scaling Functions'!$B$3:$B$10,INDEX(Inputs_matrix,J$1,$AA30)),"NA")</f>
        <v>NA</v>
      </c>
      <c r="K30" s="282" t="str">
        <f>IF(K$1&lt;=Num_alternatives,INDEX('Scaling Functions'!$B$3:$B$10,INDEX(Inputs_matrix,K$1,$AA30)),"NA")</f>
        <v>NA</v>
      </c>
      <c r="L30" s="282" t="str">
        <f>IF(L$1&lt;=Num_alternatives,INDEX('Scaling Functions'!$B$3:$B$10,INDEX(Inputs_matrix,L$1,$AA30)),"NA")</f>
        <v>NA</v>
      </c>
      <c r="M30" s="282" t="str">
        <f>IF(M$1&lt;=Num_alternatives,INDEX('Scaling Functions'!$B$3:$B$10,INDEX(Inputs_matrix,M$1,$AA30)),"NA")</f>
        <v>NA</v>
      </c>
      <c r="N30" s="282" t="str">
        <f>IF(N$1&lt;=Num_alternatives,INDEX('Scaling Functions'!$B$3:$B$10,INDEX(Inputs_matrix,N$1,$AA30)),"NA")</f>
        <v>NA</v>
      </c>
      <c r="O30" s="282" t="str">
        <f>IF(O$1&lt;=Num_alternatives,INDEX('Scaling Functions'!$B$3:$B$10,INDEX(Inputs_matrix,O$1,$AA30)),"NA")</f>
        <v>NA</v>
      </c>
      <c r="P30" s="282" t="str">
        <f>IF(P$1&lt;=Num_alternatives,INDEX('Scaling Functions'!$B$3:$B$10,INDEX(Inputs_matrix,P$1,$AA30)),"NA")</f>
        <v>NA</v>
      </c>
      <c r="Q30" s="282" t="str">
        <f>IF(Q$1&lt;=Num_alternatives,INDEX('Scaling Functions'!$B$3:$B$10,INDEX(Inputs_matrix,Q$1,$AA30)),"NA")</f>
        <v>NA</v>
      </c>
      <c r="R30" s="282" t="str">
        <f>IF(R$1&lt;=Num_alternatives,INDEX('Scaling Functions'!$B$3:$B$10,INDEX(Inputs_matrix,R$1,$AA30)),"NA")</f>
        <v>NA</v>
      </c>
      <c r="S30" s="282" t="str">
        <f>IF(S$1&lt;=Num_alternatives,INDEX('Scaling Functions'!$B$3:$B$10,INDEX(Inputs_matrix,S$1,$AA30)),"NA")</f>
        <v>NA</v>
      </c>
      <c r="T30" s="282" t="str">
        <f>IF(T$1&lt;=Num_alternatives,INDEX('Scaling Functions'!$B$3:$B$10,INDEX(Inputs_matrix,T$1,$AA30)),"NA")</f>
        <v>NA</v>
      </c>
      <c r="U30" s="283" t="str">
        <f>IF(U$1&lt;=Num_alternatives,INDEX('Scaling Functions'!$B$3:$B$10,INDEX(Inputs_matrix,U$1,$AA30)),"NA")</f>
        <v>NA</v>
      </c>
      <c r="V30" s="399"/>
      <c r="W30" s="45"/>
      <c r="X30" s="45"/>
      <c r="AA30" s="13">
        <v>16</v>
      </c>
    </row>
    <row r="31" spans="1:27" ht="36" customHeight="1">
      <c r="A31" s="409" t="s">
        <v>131</v>
      </c>
      <c r="B31" s="282" t="str">
        <f>IF(B$1&lt;=Num_alternatives,INDEX('Scaling Functions'!$B$14:$B$19,INDEX(Inputs_matrix,B$1,$AA31)),"NA")</f>
        <v>NA</v>
      </c>
      <c r="C31" s="282" t="str">
        <f>IF(C$1&lt;=Num_alternatives,INDEX('Scaling Functions'!$B$14:$B$19,INDEX(Inputs_matrix,C$1,$AA31)),"NA")</f>
        <v>NA</v>
      </c>
      <c r="D31" s="282" t="str">
        <f>IF(D$1&lt;=Num_alternatives,INDEX('Scaling Functions'!$B$14:$B$19,INDEX(Inputs_matrix,D$1,$AA31)),"NA")</f>
        <v>NA</v>
      </c>
      <c r="E31" s="282" t="str">
        <f>IF(E$1&lt;=Num_alternatives,INDEX('Scaling Functions'!$B$14:$B$19,INDEX(Inputs_matrix,E$1,$AA31)),"NA")</f>
        <v>NA</v>
      </c>
      <c r="F31" s="282" t="str">
        <f>IF(F$1&lt;=Num_alternatives,INDEX('Scaling Functions'!$B$14:$B$19,INDEX(Inputs_matrix,F$1,$AA31)),"NA")</f>
        <v>NA</v>
      </c>
      <c r="G31" s="282" t="str">
        <f>IF(G$1&lt;=Num_alternatives,INDEX('Scaling Functions'!$B$14:$B$19,INDEX(Inputs_matrix,G$1,$AA31)),"NA")</f>
        <v>NA</v>
      </c>
      <c r="H31" s="282" t="str">
        <f>IF(H$1&lt;=Num_alternatives,INDEX('Scaling Functions'!$B$14:$B$19,INDEX(Inputs_matrix,H$1,$AA31)),"NA")</f>
        <v>NA</v>
      </c>
      <c r="I31" s="282" t="str">
        <f>IF(I$1&lt;=Num_alternatives,INDEX('Scaling Functions'!$B$14:$B$19,INDEX(Inputs_matrix,I$1,$AA31)),"NA")</f>
        <v>NA</v>
      </c>
      <c r="J31" s="282" t="str">
        <f>IF(J$1&lt;=Num_alternatives,INDEX('Scaling Functions'!$B$14:$B$19,INDEX(Inputs_matrix,J$1,$AA31)),"NA")</f>
        <v>NA</v>
      </c>
      <c r="K31" s="282" t="str">
        <f>IF(K$1&lt;=Num_alternatives,INDEX('Scaling Functions'!$B$14:$B$19,INDEX(Inputs_matrix,K$1,$AA31)),"NA")</f>
        <v>NA</v>
      </c>
      <c r="L31" s="282" t="str">
        <f>IF(L$1&lt;=Num_alternatives,INDEX('Scaling Functions'!$B$14:$B$19,INDEX(Inputs_matrix,L$1,$AA31)),"NA")</f>
        <v>NA</v>
      </c>
      <c r="M31" s="282" t="str">
        <f>IF(M$1&lt;=Num_alternatives,INDEX('Scaling Functions'!$B$14:$B$19,INDEX(Inputs_matrix,M$1,$AA31)),"NA")</f>
        <v>NA</v>
      </c>
      <c r="N31" s="282" t="str">
        <f>IF(N$1&lt;=Num_alternatives,INDEX('Scaling Functions'!$B$14:$B$19,INDEX(Inputs_matrix,N$1,$AA31)),"NA")</f>
        <v>NA</v>
      </c>
      <c r="O31" s="282" t="str">
        <f>IF(O$1&lt;=Num_alternatives,INDEX('Scaling Functions'!$B$14:$B$19,INDEX(Inputs_matrix,O$1,$AA31)),"NA")</f>
        <v>NA</v>
      </c>
      <c r="P31" s="282" t="str">
        <f>IF(P$1&lt;=Num_alternatives,INDEX('Scaling Functions'!$B$14:$B$19,INDEX(Inputs_matrix,P$1,$AA31)),"NA")</f>
        <v>NA</v>
      </c>
      <c r="Q31" s="282" t="str">
        <f>IF(Q$1&lt;=Num_alternatives,INDEX('Scaling Functions'!$B$14:$B$19,INDEX(Inputs_matrix,Q$1,$AA31)),"NA")</f>
        <v>NA</v>
      </c>
      <c r="R31" s="282" t="str">
        <f>IF(R$1&lt;=Num_alternatives,INDEX('Scaling Functions'!$B$14:$B$19,INDEX(Inputs_matrix,R$1,$AA31)),"NA")</f>
        <v>NA</v>
      </c>
      <c r="S31" s="282" t="str">
        <f>IF(S$1&lt;=Num_alternatives,INDEX('Scaling Functions'!$B$14:$B$19,INDEX(Inputs_matrix,S$1,$AA31)),"NA")</f>
        <v>NA</v>
      </c>
      <c r="T31" s="282" t="str">
        <f>IF(T$1&lt;=Num_alternatives,INDEX('Scaling Functions'!$B$14:$B$19,INDEX(Inputs_matrix,T$1,$AA31)),"NA")</f>
        <v>NA</v>
      </c>
      <c r="U31" s="283" t="str">
        <f>IF(U$1&lt;=Num_alternatives,INDEX('Scaling Functions'!$B$14:$B$19,INDEX(Inputs_matrix,U$1,$AA31)),"NA")</f>
        <v>NA</v>
      </c>
      <c r="V31" s="399"/>
      <c r="W31" s="45"/>
      <c r="X31" s="45"/>
      <c r="AA31" s="13">
        <v>17</v>
      </c>
    </row>
    <row r="32" spans="1:27" ht="24" customHeight="1">
      <c r="A32" s="409" t="s">
        <v>132</v>
      </c>
      <c r="B32" s="282" t="str">
        <f>IF(B$1&lt;=Num_alternatives,INDEX('Scaling Functions'!$B$25:$B$31,INDEX(Inputs_matrix,B$1,$AA32)),"NA")</f>
        <v>NA</v>
      </c>
      <c r="C32" s="282" t="str">
        <f>IF(C$1&lt;=Num_alternatives,INDEX('Scaling Functions'!$B$25:$B$31,INDEX(Inputs_matrix,C$1,$AA32)),"NA")</f>
        <v>NA</v>
      </c>
      <c r="D32" s="282" t="str">
        <f>IF(D$1&lt;=Num_alternatives,INDEX('Scaling Functions'!$B$25:$B$31,INDEX(Inputs_matrix,D$1,$AA32)),"NA")</f>
        <v>NA</v>
      </c>
      <c r="E32" s="282" t="str">
        <f>IF(E$1&lt;=Num_alternatives,INDEX('Scaling Functions'!$B$25:$B$31,INDEX(Inputs_matrix,E$1,$AA32)),"NA")</f>
        <v>NA</v>
      </c>
      <c r="F32" s="282" t="str">
        <f>IF(F$1&lt;=Num_alternatives,INDEX('Scaling Functions'!$B$25:$B$31,INDEX(Inputs_matrix,F$1,$AA32)),"NA")</f>
        <v>NA</v>
      </c>
      <c r="G32" s="282" t="str">
        <f>IF(G$1&lt;=Num_alternatives,INDEX('Scaling Functions'!$B$25:$B$31,INDEX(Inputs_matrix,G$1,$AA32)),"NA")</f>
        <v>NA</v>
      </c>
      <c r="H32" s="282" t="str">
        <f>IF(H$1&lt;=Num_alternatives,INDEX('Scaling Functions'!$B$25:$B$31,INDEX(Inputs_matrix,H$1,$AA32)),"NA")</f>
        <v>NA</v>
      </c>
      <c r="I32" s="282" t="str">
        <f>IF(I$1&lt;=Num_alternatives,INDEX('Scaling Functions'!$B$25:$B$31,INDEX(Inputs_matrix,I$1,$AA32)),"NA")</f>
        <v>NA</v>
      </c>
      <c r="J32" s="282" t="str">
        <f>IF(J$1&lt;=Num_alternatives,INDEX('Scaling Functions'!$B$25:$B$31,INDEX(Inputs_matrix,J$1,$AA32)),"NA")</f>
        <v>NA</v>
      </c>
      <c r="K32" s="282" t="str">
        <f>IF(K$1&lt;=Num_alternatives,INDEX('Scaling Functions'!$B$25:$B$31,INDEX(Inputs_matrix,K$1,$AA32)),"NA")</f>
        <v>NA</v>
      </c>
      <c r="L32" s="282" t="str">
        <f>IF(L$1&lt;=Num_alternatives,INDEX('Scaling Functions'!$B$25:$B$31,INDEX(Inputs_matrix,L$1,$AA32)),"NA")</f>
        <v>NA</v>
      </c>
      <c r="M32" s="282" t="str">
        <f>IF(M$1&lt;=Num_alternatives,INDEX('Scaling Functions'!$B$25:$B$31,INDEX(Inputs_matrix,M$1,$AA32)),"NA")</f>
        <v>NA</v>
      </c>
      <c r="N32" s="282" t="str">
        <f>IF(N$1&lt;=Num_alternatives,INDEX('Scaling Functions'!$B$25:$B$31,INDEX(Inputs_matrix,N$1,$AA32)),"NA")</f>
        <v>NA</v>
      </c>
      <c r="O32" s="282" t="str">
        <f>IF(O$1&lt;=Num_alternatives,INDEX('Scaling Functions'!$B$25:$B$31,INDEX(Inputs_matrix,O$1,$AA32)),"NA")</f>
        <v>NA</v>
      </c>
      <c r="P32" s="282" t="str">
        <f>IF(P$1&lt;=Num_alternatives,INDEX('Scaling Functions'!$B$25:$B$31,INDEX(Inputs_matrix,P$1,$AA32)),"NA")</f>
        <v>NA</v>
      </c>
      <c r="Q32" s="282" t="str">
        <f>IF(Q$1&lt;=Num_alternatives,INDEX('Scaling Functions'!$B$25:$B$31,INDEX(Inputs_matrix,Q$1,$AA32)),"NA")</f>
        <v>NA</v>
      </c>
      <c r="R32" s="282" t="str">
        <f>IF(R$1&lt;=Num_alternatives,INDEX('Scaling Functions'!$B$25:$B$31,INDEX(Inputs_matrix,R$1,$AA32)),"NA")</f>
        <v>NA</v>
      </c>
      <c r="S32" s="282" t="str">
        <f>IF(S$1&lt;=Num_alternatives,INDEX('Scaling Functions'!$B$25:$B$31,INDEX(Inputs_matrix,S$1,$AA32)),"NA")</f>
        <v>NA</v>
      </c>
      <c r="T32" s="282" t="str">
        <f>IF(T$1&lt;=Num_alternatives,INDEX('Scaling Functions'!$B$25:$B$31,INDEX(Inputs_matrix,T$1,$AA32)),"NA")</f>
        <v>NA</v>
      </c>
      <c r="U32" s="283" t="str">
        <f>IF(U$1&lt;=Num_alternatives,INDEX('Scaling Functions'!$B$25:$B$31,INDEX(Inputs_matrix,U$1,$AA32)),"NA")</f>
        <v>NA</v>
      </c>
      <c r="V32" s="399"/>
      <c r="W32" s="45"/>
      <c r="X32" s="45"/>
      <c r="AA32" s="13">
        <v>18</v>
      </c>
    </row>
    <row r="33" spans="1:27" ht="36" customHeight="1">
      <c r="A33" s="409" t="s">
        <v>296</v>
      </c>
      <c r="B33" s="282" t="str">
        <f>IF(B$1&lt;=Num_alternatives,INDEX('Scaling Functions'!$B$36:$B$43,INDEX(Inputs_matrix,B$1,$AA33)),"NA")</f>
        <v>NA</v>
      </c>
      <c r="C33" s="282" t="str">
        <f>IF(C$1&lt;=Num_alternatives,INDEX('Scaling Functions'!$B$36:$B$43,INDEX(Inputs_matrix,C$1,$AA33)),"NA")</f>
        <v>NA</v>
      </c>
      <c r="D33" s="282" t="str">
        <f>IF(D$1&lt;=Num_alternatives,INDEX('Scaling Functions'!$B$36:$B$43,INDEX(Inputs_matrix,D$1,$AA33)),"NA")</f>
        <v>NA</v>
      </c>
      <c r="E33" s="282" t="str">
        <f>IF(E$1&lt;=Num_alternatives,INDEX('Scaling Functions'!$B$36:$B$43,INDEX(Inputs_matrix,E$1,$AA33)),"NA")</f>
        <v>NA</v>
      </c>
      <c r="F33" s="282" t="str">
        <f>IF(F$1&lt;=Num_alternatives,INDEX('Scaling Functions'!$B$36:$B$43,INDEX(Inputs_matrix,F$1,$AA33)),"NA")</f>
        <v>NA</v>
      </c>
      <c r="G33" s="282" t="str">
        <f>IF(G$1&lt;=Num_alternatives,INDEX('Scaling Functions'!$B$36:$B$43,INDEX(Inputs_matrix,G$1,$AA33)),"NA")</f>
        <v>NA</v>
      </c>
      <c r="H33" s="282" t="str">
        <f>IF(H$1&lt;=Num_alternatives,INDEX('Scaling Functions'!$B$36:$B$43,INDEX(Inputs_matrix,H$1,$AA33)),"NA")</f>
        <v>NA</v>
      </c>
      <c r="I33" s="282" t="str">
        <f>IF(I$1&lt;=Num_alternatives,INDEX('Scaling Functions'!$B$36:$B$43,INDEX(Inputs_matrix,I$1,$AA33)),"NA")</f>
        <v>NA</v>
      </c>
      <c r="J33" s="282" t="str">
        <f>IF(J$1&lt;=Num_alternatives,INDEX('Scaling Functions'!$B$36:$B$43,INDEX(Inputs_matrix,J$1,$AA33)),"NA")</f>
        <v>NA</v>
      </c>
      <c r="K33" s="282" t="str">
        <f>IF(K$1&lt;=Num_alternatives,INDEX('Scaling Functions'!$B$36:$B$43,INDEX(Inputs_matrix,K$1,$AA33)),"NA")</f>
        <v>NA</v>
      </c>
      <c r="L33" s="282" t="str">
        <f>IF(L$1&lt;=Num_alternatives,INDEX('Scaling Functions'!$B$36:$B$43,INDEX(Inputs_matrix,L$1,$AA33)),"NA")</f>
        <v>NA</v>
      </c>
      <c r="M33" s="282" t="str">
        <f>IF(M$1&lt;=Num_alternatives,INDEX('Scaling Functions'!$B$36:$B$43,INDEX(Inputs_matrix,M$1,$AA33)),"NA")</f>
        <v>NA</v>
      </c>
      <c r="N33" s="282" t="str">
        <f>IF(N$1&lt;=Num_alternatives,INDEX('Scaling Functions'!$B$36:$B$43,INDEX(Inputs_matrix,N$1,$AA33)),"NA")</f>
        <v>NA</v>
      </c>
      <c r="O33" s="282" t="str">
        <f>IF(O$1&lt;=Num_alternatives,INDEX('Scaling Functions'!$B$36:$B$43,INDEX(Inputs_matrix,O$1,$AA33)),"NA")</f>
        <v>NA</v>
      </c>
      <c r="P33" s="282" t="str">
        <f>IF(P$1&lt;=Num_alternatives,INDEX('Scaling Functions'!$B$36:$B$43,INDEX(Inputs_matrix,P$1,$AA33)),"NA")</f>
        <v>NA</v>
      </c>
      <c r="Q33" s="282" t="str">
        <f>IF(Q$1&lt;=Num_alternatives,INDEX('Scaling Functions'!$B$36:$B$43,INDEX(Inputs_matrix,Q$1,$AA33)),"NA")</f>
        <v>NA</v>
      </c>
      <c r="R33" s="282" t="str">
        <f>IF(R$1&lt;=Num_alternatives,INDEX('Scaling Functions'!$B$36:$B$43,INDEX(Inputs_matrix,R$1,$AA33)),"NA")</f>
        <v>NA</v>
      </c>
      <c r="S33" s="282" t="str">
        <f>IF(S$1&lt;=Num_alternatives,INDEX('Scaling Functions'!$B$36:$B$43,INDEX(Inputs_matrix,S$1,$AA33)),"NA")</f>
        <v>NA</v>
      </c>
      <c r="T33" s="282" t="str">
        <f>IF(T$1&lt;=Num_alternatives,INDEX('Scaling Functions'!$B$36:$B$43,INDEX(Inputs_matrix,T$1,$AA33)),"NA")</f>
        <v>NA</v>
      </c>
      <c r="U33" s="283" t="str">
        <f>IF(U$1&lt;=Num_alternatives,INDEX('Scaling Functions'!$B$36:$B$43,INDEX(Inputs_matrix,U$1,$AA33)),"NA")</f>
        <v>NA</v>
      </c>
      <c r="V33" s="399"/>
      <c r="W33" s="45"/>
      <c r="X33" s="45"/>
      <c r="AA33" s="13">
        <v>19</v>
      </c>
    </row>
    <row r="34" spans="1:27" ht="24" customHeight="1" thickBot="1">
      <c r="A34" s="411" t="s">
        <v>133</v>
      </c>
      <c r="B34" s="280" t="str">
        <f>IF(B$1&lt;=Num_alternatives,INDEX('Scaling Functions'!$B$47:$B$51,INDEX(Inputs_matrix,B$1,$AA34)),"NA")</f>
        <v>NA</v>
      </c>
      <c r="C34" s="280" t="str">
        <f>IF(C$1&lt;=Num_alternatives,INDEX('Scaling Functions'!$B$47:$B$51,INDEX(Inputs_matrix,C$1,$AA34)),"NA")</f>
        <v>NA</v>
      </c>
      <c r="D34" s="280" t="str">
        <f>IF(D$1&lt;=Num_alternatives,INDEX('Scaling Functions'!$B$47:$B$51,INDEX(Inputs_matrix,D$1,$AA34)),"NA")</f>
        <v>NA</v>
      </c>
      <c r="E34" s="280" t="str">
        <f>IF(E$1&lt;=Num_alternatives,INDEX('Scaling Functions'!$B$47:$B$51,INDEX(Inputs_matrix,E$1,$AA34)),"NA")</f>
        <v>NA</v>
      </c>
      <c r="F34" s="280" t="str">
        <f>IF(F$1&lt;=Num_alternatives,INDEX('Scaling Functions'!$B$47:$B$51,INDEX(Inputs_matrix,F$1,$AA34)),"NA")</f>
        <v>NA</v>
      </c>
      <c r="G34" s="280" t="str">
        <f>IF(G$1&lt;=Num_alternatives,INDEX('Scaling Functions'!$B$47:$B$51,INDEX(Inputs_matrix,G$1,$AA34)),"NA")</f>
        <v>NA</v>
      </c>
      <c r="H34" s="280" t="str">
        <f>IF(H$1&lt;=Num_alternatives,INDEX('Scaling Functions'!$B$47:$B$51,INDEX(Inputs_matrix,H$1,$AA34)),"NA")</f>
        <v>NA</v>
      </c>
      <c r="I34" s="280" t="str">
        <f>IF(I$1&lt;=Num_alternatives,INDEX('Scaling Functions'!$B$47:$B$51,INDEX(Inputs_matrix,I$1,$AA34)),"NA")</f>
        <v>NA</v>
      </c>
      <c r="J34" s="280" t="str">
        <f>IF(J$1&lt;=Num_alternatives,INDEX('Scaling Functions'!$B$47:$B$51,INDEX(Inputs_matrix,J$1,$AA34)),"NA")</f>
        <v>NA</v>
      </c>
      <c r="K34" s="280" t="str">
        <f>IF(K$1&lt;=Num_alternatives,INDEX('Scaling Functions'!$B$47:$B$51,INDEX(Inputs_matrix,K$1,$AA34)),"NA")</f>
        <v>NA</v>
      </c>
      <c r="L34" s="280" t="str">
        <f>IF(L$1&lt;=Num_alternatives,INDEX('Scaling Functions'!$B$47:$B$51,INDEX(Inputs_matrix,L$1,$AA34)),"NA")</f>
        <v>NA</v>
      </c>
      <c r="M34" s="280" t="str">
        <f>IF(M$1&lt;=Num_alternatives,INDEX('Scaling Functions'!$B$47:$B$51,INDEX(Inputs_matrix,M$1,$AA34)),"NA")</f>
        <v>NA</v>
      </c>
      <c r="N34" s="280" t="str">
        <f>IF(N$1&lt;=Num_alternatives,INDEX('Scaling Functions'!$B$47:$B$51,INDEX(Inputs_matrix,N$1,$AA34)),"NA")</f>
        <v>NA</v>
      </c>
      <c r="O34" s="280" t="str">
        <f>IF(O$1&lt;=Num_alternatives,INDEX('Scaling Functions'!$B$47:$B$51,INDEX(Inputs_matrix,O$1,$AA34)),"NA")</f>
        <v>NA</v>
      </c>
      <c r="P34" s="280" t="str">
        <f>IF(P$1&lt;=Num_alternatives,INDEX('Scaling Functions'!$B$47:$B$51,INDEX(Inputs_matrix,P$1,$AA34)),"NA")</f>
        <v>NA</v>
      </c>
      <c r="Q34" s="280" t="str">
        <f>IF(Q$1&lt;=Num_alternatives,INDEX('Scaling Functions'!$B$47:$B$51,INDEX(Inputs_matrix,Q$1,$AA34)),"NA")</f>
        <v>NA</v>
      </c>
      <c r="R34" s="280" t="str">
        <f>IF(R$1&lt;=Num_alternatives,INDEX('Scaling Functions'!$B$47:$B$51,INDEX(Inputs_matrix,R$1,$AA34)),"NA")</f>
        <v>NA</v>
      </c>
      <c r="S34" s="280" t="str">
        <f>IF(S$1&lt;=Num_alternatives,INDEX('Scaling Functions'!$B$47:$B$51,INDEX(Inputs_matrix,S$1,$AA34)),"NA")</f>
        <v>NA</v>
      </c>
      <c r="T34" s="280" t="str">
        <f>IF(T$1&lt;=Num_alternatives,INDEX('Scaling Functions'!$B$47:$B$51,INDEX(Inputs_matrix,T$1,$AA34)),"NA")</f>
        <v>NA</v>
      </c>
      <c r="U34" s="281" t="str">
        <f>IF(U$1&lt;=Num_alternatives,INDEX('Scaling Functions'!$B$47:$B$51,INDEX(Inputs_matrix,U$1,$AA34)),"NA")</f>
        <v>NA</v>
      </c>
      <c r="V34" s="399"/>
      <c r="W34" s="45"/>
      <c r="X34" s="45"/>
      <c r="AA34" s="13">
        <v>20</v>
      </c>
    </row>
    <row r="35" spans="1:24" s="347" customFormat="1" ht="17.25" customHeight="1">
      <c r="A35" s="412" t="s">
        <v>290</v>
      </c>
      <c r="B35" s="345"/>
      <c r="C35" s="345"/>
      <c r="D35" s="345"/>
      <c r="E35" s="345"/>
      <c r="F35" s="345"/>
      <c r="G35" s="345"/>
      <c r="H35" s="345"/>
      <c r="I35" s="345"/>
      <c r="J35" s="345"/>
      <c r="K35" s="345"/>
      <c r="L35" s="345"/>
      <c r="M35" s="345"/>
      <c r="N35" s="345"/>
      <c r="O35" s="345"/>
      <c r="P35" s="345"/>
      <c r="Q35" s="345"/>
      <c r="R35" s="345"/>
      <c r="S35" s="345"/>
      <c r="T35" s="345"/>
      <c r="U35" s="346"/>
      <c r="V35" s="399"/>
      <c r="W35" s="45"/>
      <c r="X35" s="45"/>
    </row>
    <row r="36" spans="1:27" ht="27.75" customHeight="1">
      <c r="A36" s="413" t="s">
        <v>291</v>
      </c>
      <c r="B36" s="282" t="str">
        <f>IF(B$1&lt;=Num_alternatives,INDEX('Scaling Functions'!$B$67:$B$70,INDEX(Inputs_matrix,B$1,$AA36)),"NA")</f>
        <v>NA</v>
      </c>
      <c r="C36" s="282" t="str">
        <f>IF(C$1&lt;=Num_alternatives,INDEX('Scaling Functions'!$B$67:$B$70,INDEX(Inputs_matrix,C$1,$AA36)),"NA")</f>
        <v>Very small: 1-2 people</v>
      </c>
      <c r="D36" s="282" t="str">
        <f>IF(D$1&lt;=Num_alternatives,INDEX('Scaling Functions'!$B$67:$B$70,INDEX(Inputs_matrix,D$1,$AA36)),"NA")</f>
        <v>Very small: 1-2 people</v>
      </c>
      <c r="E36" s="282" t="str">
        <f>IF(E$1&lt;=Num_alternatives,INDEX('Scaling Functions'!$B$67:$B$70,INDEX(Inputs_matrix,E$1,$AA36)),"NA")</f>
        <v>Very small: 1-2 people</v>
      </c>
      <c r="F36" s="282" t="str">
        <f>IF(F$1&lt;=Num_alternatives,INDEX('Scaling Functions'!$B$67:$B$70,INDEX(Inputs_matrix,F$1,$AA36)),"NA")</f>
        <v>Very small: 1-2 people</v>
      </c>
      <c r="G36" s="282" t="str">
        <f>IF(G$1&lt;=Num_alternatives,INDEX('Scaling Functions'!$B$67:$B$70,INDEX(Inputs_matrix,G$1,$AA36)),"NA")</f>
        <v>Small: less than 10 people</v>
      </c>
      <c r="H36" s="282" t="str">
        <f>IF(H$1&lt;=Num_alternatives,INDEX('Scaling Functions'!$B$67:$B$70,INDEX(Inputs_matrix,H$1,$AA36)),"NA")</f>
        <v>Very small: 1-2 people</v>
      </c>
      <c r="I36" s="282" t="str">
        <f>IF(I$1&lt;=Num_alternatives,INDEX('Scaling Functions'!$B$67:$B$70,INDEX(Inputs_matrix,I$1,$AA36)),"NA")</f>
        <v>Very small: 1-2 people</v>
      </c>
      <c r="J36" s="282" t="str">
        <f>IF(J$1&lt;=Num_alternatives,INDEX('Scaling Functions'!$B$67:$B$70,INDEX(Inputs_matrix,J$1,$AA36)),"NA")</f>
        <v>Small: less than 10 people</v>
      </c>
      <c r="K36" s="282" t="str">
        <f>IF(K$1&lt;=Num_alternatives,INDEX('Scaling Functions'!$B$67:$B$70,INDEX(Inputs_matrix,K$1,$AA36)),"NA")</f>
        <v>NA</v>
      </c>
      <c r="L36" s="282" t="str">
        <f>IF(L$1&lt;=Num_alternatives,INDEX('Scaling Functions'!$B$67:$B$70,INDEX(Inputs_matrix,L$1,$AA36)),"NA")</f>
        <v>NA</v>
      </c>
      <c r="M36" s="282" t="str">
        <f>IF(M$1&lt;=Num_alternatives,INDEX('Scaling Functions'!$B$67:$B$70,INDEX(Inputs_matrix,M$1,$AA36)),"NA")</f>
        <v>NA</v>
      </c>
      <c r="N36" s="282" t="str">
        <f>IF(N$1&lt;=Num_alternatives,INDEX('Scaling Functions'!$B$67:$B$70,INDEX(Inputs_matrix,N$1,$AA36)),"NA")</f>
        <v>NA</v>
      </c>
      <c r="O36" s="282" t="str">
        <f>IF(O$1&lt;=Num_alternatives,INDEX('Scaling Functions'!$B$67:$B$70,INDEX(Inputs_matrix,O$1,$AA36)),"NA")</f>
        <v>NA</v>
      </c>
      <c r="P36" s="282" t="str">
        <f>IF(P$1&lt;=Num_alternatives,INDEX('Scaling Functions'!$B$67:$B$70,INDEX(Inputs_matrix,P$1,$AA36)),"NA")</f>
        <v>NA</v>
      </c>
      <c r="Q36" s="282" t="str">
        <f>IF(Q$1&lt;=Num_alternatives,INDEX('Scaling Functions'!$B$67:$B$70,INDEX(Inputs_matrix,Q$1,$AA36)),"NA")</f>
        <v>NA</v>
      </c>
      <c r="R36" s="282" t="str">
        <f>IF(R$1&lt;=Num_alternatives,INDEX('Scaling Functions'!$B$67:$B$70,INDEX(Inputs_matrix,R$1,$AA36)),"NA")</f>
        <v>NA</v>
      </c>
      <c r="S36" s="282" t="str">
        <f>IF(S$1&lt;=Num_alternatives,INDEX('Scaling Functions'!$B$67:$B$70,INDEX(Inputs_matrix,S$1,$AA36)),"NA")</f>
        <v>NA</v>
      </c>
      <c r="T36" s="282" t="str">
        <f>IF(T$1&lt;=Num_alternatives,INDEX('Scaling Functions'!$B$67:$B$70,INDEX(Inputs_matrix,T$1,$AA36)),"NA")</f>
        <v>NA</v>
      </c>
      <c r="U36" s="283" t="str">
        <f>IF(U$1&lt;=Num_alternatives,INDEX('Scaling Functions'!$B$67:$B$70,INDEX(Inputs_matrix,U$1,$AA36)),"NA")</f>
        <v>NA</v>
      </c>
      <c r="AA36" s="13">
        <v>22</v>
      </c>
    </row>
    <row r="37" spans="1:27" ht="27.75" customHeight="1">
      <c r="A37" s="413" t="s">
        <v>297</v>
      </c>
      <c r="B37" s="282" t="str">
        <f>IF(B$1&lt;=Num_alternatives,INDEX('Scaling Functions'!$B$57:$B$64,INDEX(Inputs_matrix,B$1,$AA37)),"NA")</f>
        <v>NA</v>
      </c>
      <c r="C37" s="282" t="str">
        <f>IF(C$1&lt;=Num_alternatives,INDEX('Scaling Functions'!$B$57:$B$64,INDEX(Inputs_matrix,C$1,$AA37)),"NA")</f>
        <v>Somewhat unlikely (e.g., 1 in 1,000)</v>
      </c>
      <c r="D37" s="282" t="str">
        <f>IF(D$1&lt;=Num_alternatives,INDEX('Scaling Functions'!$B$57:$B$64,INDEX(Inputs_matrix,D$1,$AA37)),"NA")</f>
        <v>Somewhat unlikely (e.g., 1 in 1,000)</v>
      </c>
      <c r="E37" s="282" t="str">
        <f>IF(E$1&lt;=Num_alternatives,INDEX('Scaling Functions'!$B$57:$B$64,INDEX(Inputs_matrix,E$1,$AA37)),"NA")</f>
        <v>Relatively likely (e.g., 1 in 100)</v>
      </c>
      <c r="F37" s="282" t="str">
        <f>IF(F$1&lt;=Num_alternatives,INDEX('Scaling Functions'!$B$57:$B$64,INDEX(Inputs_matrix,F$1,$AA37)),"NA")</f>
        <v>Likely (e.g., 1 in 10)</v>
      </c>
      <c r="G37" s="282" t="str">
        <f>IF(G$1&lt;=Num_alternatives,INDEX('Scaling Functions'!$B$57:$B$64,INDEX(Inputs_matrix,G$1,$AA37)),"NA")</f>
        <v>Relatively likely (e.g., 1 in 100)</v>
      </c>
      <c r="H37" s="282" t="str">
        <f>IF(H$1&lt;=Num_alternatives,INDEX('Scaling Functions'!$B$57:$B$64,INDEX(Inputs_matrix,H$1,$AA37)),"NA")</f>
        <v>Relatively likely (e.g., 1 in 100)</v>
      </c>
      <c r="I37" s="282" t="str">
        <f>IF(I$1&lt;=Num_alternatives,INDEX('Scaling Functions'!$B$57:$B$64,INDEX(Inputs_matrix,I$1,$AA37)),"NA")</f>
        <v>Likely (e.g., 1 in 10)</v>
      </c>
      <c r="J37" s="282" t="str">
        <f>IF(J$1&lt;=Num_alternatives,INDEX('Scaling Functions'!$B$57:$B$64,INDEX(Inputs_matrix,J$1,$AA37)),"NA")</f>
        <v>Relatively likely (e.g., 1 in 100)</v>
      </c>
      <c r="K37" s="282" t="str">
        <f>IF(K$1&lt;=Num_alternatives,INDEX('Scaling Functions'!$B$57:$B$64,INDEX(Inputs_matrix,K$1,$AA37)),"NA")</f>
        <v>NA</v>
      </c>
      <c r="L37" s="282" t="str">
        <f>IF(L$1&lt;=Num_alternatives,INDEX('Scaling Functions'!$B$57:$B$64,INDEX(Inputs_matrix,L$1,$AA37)),"NA")</f>
        <v>NA</v>
      </c>
      <c r="M37" s="282" t="str">
        <f>IF(M$1&lt;=Num_alternatives,INDEX('Scaling Functions'!$B$57:$B$64,INDEX(Inputs_matrix,M$1,$AA37)),"NA")</f>
        <v>NA</v>
      </c>
      <c r="N37" s="282" t="str">
        <f>IF(N$1&lt;=Num_alternatives,INDEX('Scaling Functions'!$B$57:$B$64,INDEX(Inputs_matrix,N$1,$AA37)),"NA")</f>
        <v>NA</v>
      </c>
      <c r="O37" s="282" t="str">
        <f>IF(O$1&lt;=Num_alternatives,INDEX('Scaling Functions'!$B$57:$B$64,INDEX(Inputs_matrix,O$1,$AA37)),"NA")</f>
        <v>NA</v>
      </c>
      <c r="P37" s="282" t="str">
        <f>IF(P$1&lt;=Num_alternatives,INDEX('Scaling Functions'!$B$57:$B$64,INDEX(Inputs_matrix,P$1,$AA37)),"NA")</f>
        <v>NA</v>
      </c>
      <c r="Q37" s="282" t="str">
        <f>IF(Q$1&lt;=Num_alternatives,INDEX('Scaling Functions'!$B$57:$B$64,INDEX(Inputs_matrix,Q$1,$AA37)),"NA")</f>
        <v>NA</v>
      </c>
      <c r="R37" s="282" t="str">
        <f>IF(R$1&lt;=Num_alternatives,INDEX('Scaling Functions'!$B$57:$B$64,INDEX(Inputs_matrix,R$1,$AA37)),"NA")</f>
        <v>NA</v>
      </c>
      <c r="S37" s="282" t="str">
        <f>IF(S$1&lt;=Num_alternatives,INDEX('Scaling Functions'!$B$57:$B$64,INDEX(Inputs_matrix,S$1,$AA37)),"NA")</f>
        <v>NA</v>
      </c>
      <c r="T37" s="282" t="str">
        <f>IF(T$1&lt;=Num_alternatives,INDEX('Scaling Functions'!$B$57:$B$64,INDEX(Inputs_matrix,T$1,$AA37)),"NA")</f>
        <v>NA</v>
      </c>
      <c r="U37" s="283" t="str">
        <f>IF(U$1&lt;=Num_alternatives,INDEX('Scaling Functions'!$B$57:$B$64,INDEX(Inputs_matrix,U$1,$AA37)),"NA")</f>
        <v>NA</v>
      </c>
      <c r="AA37" s="13">
        <v>21</v>
      </c>
    </row>
    <row r="38" spans="1:27" ht="24" customHeight="1" thickBot="1">
      <c r="A38" s="414" t="s">
        <v>292</v>
      </c>
      <c r="B38" s="282" t="str">
        <f>IF(B$1&lt;=Num_alternatives,INDEX('Scaling Functions'!$B$74:$B$78,INDEX(Inputs_matrix,B$1,$AA38)),"NA")</f>
        <v>NA</v>
      </c>
      <c r="C38" s="282" t="str">
        <f>IF(C$1&lt;=Num_alternatives,INDEX('Scaling Functions'!$B$74:$B$78,INDEX(Inputs_matrix,C$1,$AA38)),"NA")</f>
        <v>Moderate effect</v>
      </c>
      <c r="D38" s="282" t="str">
        <f>IF(D$1&lt;=Num_alternatives,INDEX('Scaling Functions'!$B$74:$B$78,INDEX(Inputs_matrix,D$1,$AA38)),"NA")</f>
        <v>Moderate effect</v>
      </c>
      <c r="E38" s="282" t="str">
        <f>IF(E$1&lt;=Num_alternatives,INDEX('Scaling Functions'!$B$74:$B$78,INDEX(Inputs_matrix,E$1,$AA38)),"NA")</f>
        <v>Moderate effect</v>
      </c>
      <c r="F38" s="282" t="str">
        <f>IF(F$1&lt;=Num_alternatives,INDEX('Scaling Functions'!$B$74:$B$78,INDEX(Inputs_matrix,F$1,$AA38)),"NA")</f>
        <v>Moderate effect</v>
      </c>
      <c r="G38" s="282" t="str">
        <f>IF(G$1&lt;=Num_alternatives,INDEX('Scaling Functions'!$B$74:$B$78,INDEX(Inputs_matrix,G$1,$AA38)),"NA")</f>
        <v>Moderate effect</v>
      </c>
      <c r="H38" s="282" t="str">
        <f>IF(H$1&lt;=Num_alternatives,INDEX('Scaling Functions'!$B$74:$B$78,INDEX(Inputs_matrix,H$1,$AA38)),"NA")</f>
        <v>Moderate effect</v>
      </c>
      <c r="I38" s="282" t="str">
        <f>IF(I$1&lt;=Num_alternatives,INDEX('Scaling Functions'!$B$74:$B$78,INDEX(Inputs_matrix,I$1,$AA38)),"NA")</f>
        <v>Moderate effect</v>
      </c>
      <c r="J38" s="282" t="str">
        <f>IF(J$1&lt;=Num_alternatives,INDEX('Scaling Functions'!$B$74:$B$78,INDEX(Inputs_matrix,J$1,$AA38)),"NA")</f>
        <v>Moderate effect</v>
      </c>
      <c r="K38" s="282" t="str">
        <f>IF(K$1&lt;=Num_alternatives,INDEX('Scaling Functions'!$B$74:$B$78,INDEX(Inputs_matrix,K$1,$AA38)),"NA")</f>
        <v>NA</v>
      </c>
      <c r="L38" s="282" t="str">
        <f>IF(L$1&lt;=Num_alternatives,INDEX('Scaling Functions'!$B$74:$B$78,INDEX(Inputs_matrix,L$1,$AA38)),"NA")</f>
        <v>NA</v>
      </c>
      <c r="M38" s="282" t="str">
        <f>IF(M$1&lt;=Num_alternatives,INDEX('Scaling Functions'!$B$74:$B$78,INDEX(Inputs_matrix,M$1,$AA38)),"NA")</f>
        <v>NA</v>
      </c>
      <c r="N38" s="282" t="str">
        <f>IF(N$1&lt;=Num_alternatives,INDEX('Scaling Functions'!$B$74:$B$78,INDEX(Inputs_matrix,N$1,$AA38)),"NA")</f>
        <v>NA</v>
      </c>
      <c r="O38" s="282" t="str">
        <f>IF(O$1&lt;=Num_alternatives,INDEX('Scaling Functions'!$B$74:$B$78,INDEX(Inputs_matrix,O$1,$AA38)),"NA")</f>
        <v>NA</v>
      </c>
      <c r="P38" s="282" t="str">
        <f>IF(P$1&lt;=Num_alternatives,INDEX('Scaling Functions'!$B$74:$B$78,INDEX(Inputs_matrix,P$1,$AA38)),"NA")</f>
        <v>NA</v>
      </c>
      <c r="Q38" s="282" t="str">
        <f>IF(Q$1&lt;=Num_alternatives,INDEX('Scaling Functions'!$B$74:$B$78,INDEX(Inputs_matrix,Q$1,$AA38)),"NA")</f>
        <v>NA</v>
      </c>
      <c r="R38" s="282" t="str">
        <f>IF(R$1&lt;=Num_alternatives,INDEX('Scaling Functions'!$B$74:$B$78,INDEX(Inputs_matrix,R$1,$AA38)),"NA")</f>
        <v>NA</v>
      </c>
      <c r="S38" s="282" t="str">
        <f>IF(S$1&lt;=Num_alternatives,INDEX('Scaling Functions'!$B$74:$B$78,INDEX(Inputs_matrix,S$1,$AA38)),"NA")</f>
        <v>NA</v>
      </c>
      <c r="T38" s="282" t="str">
        <f>IF(T$1&lt;=Num_alternatives,INDEX('Scaling Functions'!$B$74:$B$78,INDEX(Inputs_matrix,T$1,$AA38)),"NA")</f>
        <v>NA</v>
      </c>
      <c r="U38" s="281" t="str">
        <f>IF(U$1&lt;=Num_alternatives,INDEX('Scaling Functions'!$B$74:$B$78,INDEX(Inputs_matrix,U$1,$AA38)),"NA")</f>
        <v>NA</v>
      </c>
      <c r="AA38" s="13">
        <v>23</v>
      </c>
    </row>
    <row r="39" spans="1:21" ht="13.5" customHeight="1">
      <c r="A39" s="415" t="s">
        <v>250</v>
      </c>
      <c r="B39" s="278"/>
      <c r="C39" s="278"/>
      <c r="D39" s="278"/>
      <c r="E39" s="278"/>
      <c r="F39" s="278"/>
      <c r="G39" s="278"/>
      <c r="H39" s="278"/>
      <c r="I39" s="278"/>
      <c r="J39" s="278"/>
      <c r="K39" s="278"/>
      <c r="L39" s="278"/>
      <c r="M39" s="278"/>
      <c r="N39" s="278"/>
      <c r="O39" s="278"/>
      <c r="P39" s="278"/>
      <c r="Q39" s="278"/>
      <c r="R39" s="278"/>
      <c r="S39" s="278"/>
      <c r="T39" s="278"/>
      <c r="U39" s="279"/>
    </row>
    <row r="40" spans="1:21" ht="15" customHeight="1">
      <c r="A40" s="416" t="str">
        <f>'Site Info'!A17</f>
        <v>Coastal or marine environments</v>
      </c>
      <c r="B40" s="286"/>
      <c r="C40" s="286"/>
      <c r="D40" s="286"/>
      <c r="E40" s="286"/>
      <c r="F40" s="286"/>
      <c r="G40" s="286"/>
      <c r="H40" s="286"/>
      <c r="I40" s="286"/>
      <c r="J40" s="286"/>
      <c r="K40" s="286"/>
      <c r="L40" s="286"/>
      <c r="M40" s="286"/>
      <c r="N40" s="286"/>
      <c r="O40" s="286"/>
      <c r="P40" s="286"/>
      <c r="Q40" s="286"/>
      <c r="R40" s="286"/>
      <c r="S40" s="286"/>
      <c r="T40" s="286"/>
      <c r="U40" s="287"/>
    </row>
    <row r="41" spans="1:27" ht="36" customHeight="1">
      <c r="A41" s="409" t="s">
        <v>134</v>
      </c>
      <c r="B41" s="282" t="str">
        <f>IF(B$1&lt;=Num_alternatives,IF(INDEX(Inputs_matrix,B$1,$AA41)=0,"N/A",INDEX('Scaling Functions'!$B$95:$B$102,INDEX(Inputs_matrix,B$1,$AA41))),"NA")</f>
        <v>NA</v>
      </c>
      <c r="C41" s="282" t="str">
        <f>IF(C$1&lt;=Num_alternatives,IF(INDEX(Inputs_matrix,C$1,$AA41)=0,"N/A",INDEX('Scaling Functions'!$B$95:$B$102,INDEX(Inputs_matrix,C$1,$AA41))),"NA")</f>
        <v>NA</v>
      </c>
      <c r="D41" s="282" t="str">
        <f>IF(D$1&lt;=Num_alternatives,IF(INDEX(Inputs_matrix,D$1,$AA41)=0,"N/A",INDEX('Scaling Functions'!$B$95:$B$102,INDEX(Inputs_matrix,D$1,$AA41))),"NA")</f>
        <v>NA</v>
      </c>
      <c r="E41" s="282" t="str">
        <f>IF(E$1&lt;=Num_alternatives,IF(INDEX(Inputs_matrix,E$1,$AA41)=0,"N/A",INDEX('Scaling Functions'!$B$95:$B$102,INDEX(Inputs_matrix,E$1,$AA41))),"NA")</f>
        <v>NA</v>
      </c>
      <c r="F41" s="282" t="str">
        <f>IF(F$1&lt;=Num_alternatives,IF(INDEX(Inputs_matrix,F$1,$AA41)=0,"N/A",INDEX('Scaling Functions'!$B$95:$B$102,INDEX(Inputs_matrix,F$1,$AA41))),"NA")</f>
        <v>NA</v>
      </c>
      <c r="G41" s="282" t="str">
        <f>IF(G$1&lt;=Num_alternatives,IF(INDEX(Inputs_matrix,G$1,$AA41)=0,"N/A",INDEX('Scaling Functions'!$B$95:$B$102,INDEX(Inputs_matrix,G$1,$AA41))),"NA")</f>
        <v>NA</v>
      </c>
      <c r="H41" s="282" t="str">
        <f>IF(H$1&lt;=Num_alternatives,IF(INDEX(Inputs_matrix,H$1,$AA41)=0,"N/A",INDEX('Scaling Functions'!$B$95:$B$102,INDEX(Inputs_matrix,H$1,$AA41))),"NA")</f>
        <v>NA</v>
      </c>
      <c r="I41" s="282" t="str">
        <f>IF(I$1&lt;=Num_alternatives,IF(INDEX(Inputs_matrix,I$1,$AA41)=0,"N/A",INDEX('Scaling Functions'!$B$95:$B$102,INDEX(Inputs_matrix,I$1,$AA41))),"NA")</f>
        <v>NA</v>
      </c>
      <c r="J41" s="282" t="str">
        <f>IF(J$1&lt;=Num_alternatives,IF(INDEX(Inputs_matrix,J$1,$AA41)=0,"N/A",INDEX('Scaling Functions'!$B$95:$B$102,INDEX(Inputs_matrix,J$1,$AA41))),"NA")</f>
        <v>NA</v>
      </c>
      <c r="K41" s="282"/>
      <c r="L41" s="282" t="str">
        <f>IF(L$1&lt;=Num_alternatives,IF(INDEX(Inputs_matrix,L$1,$AA41)=0,"N/A",INDEX('Scaling Functions'!$B$95:$B$102,INDEX(Inputs_matrix,L$1,$AA41))),"NA")</f>
        <v>NA</v>
      </c>
      <c r="M41" s="282" t="str">
        <f>IF(M$1&lt;=Num_alternatives,IF(INDEX(Inputs_matrix,M$1,$AA41)=0,"N/A",INDEX('Scaling Functions'!$B$95:$B$102,INDEX(Inputs_matrix,M$1,$AA41))),"NA")</f>
        <v>NA</v>
      </c>
      <c r="N41" s="282" t="str">
        <f>IF(N$1&lt;=Num_alternatives,IF(INDEX(Inputs_matrix,N$1,$AA41)=0,"N/A",INDEX('Scaling Functions'!$B$95:$B$102,INDEX(Inputs_matrix,N$1,$AA41))),"NA")</f>
        <v>NA</v>
      </c>
      <c r="O41" s="282" t="str">
        <f>IF(O$1&lt;=Num_alternatives,IF(INDEX(Inputs_matrix,O$1,$AA41)=0,"N/A",INDEX('Scaling Functions'!$B$95:$B$102,INDEX(Inputs_matrix,O$1,$AA41))),"NA")</f>
        <v>NA</v>
      </c>
      <c r="P41" s="282" t="str">
        <f>IF(P$1&lt;=Num_alternatives,IF(INDEX(Inputs_matrix,P$1,$AA41)=0,"N/A",INDEX('Scaling Functions'!$B$95:$B$102,INDEX(Inputs_matrix,P$1,$AA41))),"NA")</f>
        <v>NA</v>
      </c>
      <c r="Q41" s="282" t="str">
        <f>IF(Q$1&lt;=Num_alternatives,IF(INDEX(Inputs_matrix,Q$1,$AA41)=0,"N/A",INDEX('Scaling Functions'!$B$95:$B$102,INDEX(Inputs_matrix,Q$1,$AA41))),"NA")</f>
        <v>NA</v>
      </c>
      <c r="R41" s="282" t="str">
        <f>IF(R$1&lt;=Num_alternatives,IF(INDEX(Inputs_matrix,R$1,$AA41)=0,"N/A",INDEX('Scaling Functions'!$B$95:$B$102,INDEX(Inputs_matrix,R$1,$AA41))),"NA")</f>
        <v>NA</v>
      </c>
      <c r="S41" s="282" t="str">
        <f>IF(S$1&lt;=Num_alternatives,IF(INDEX(Inputs_matrix,S$1,$AA41)=0,"N/A",INDEX('Scaling Functions'!$B$95:$B$102,INDEX(Inputs_matrix,S$1,$AA41))),"NA")</f>
        <v>NA</v>
      </c>
      <c r="T41" s="282" t="str">
        <f>IF(T$1&lt;=Num_alternatives,IF(INDEX(Inputs_matrix,T$1,$AA41)=0,"N/A",INDEX('Scaling Functions'!$B$95:$B$102,INDEX(Inputs_matrix,T$1,$AA41))),"NA")</f>
        <v>NA</v>
      </c>
      <c r="U41" s="283" t="str">
        <f>IF(U$1&lt;=Num_alternatives,IF(INDEX(Inputs_matrix,U$1,$AA41)=0,"N/A",INDEX('Scaling Functions'!$B$95:$B$102,INDEX(Inputs_matrix,U$1,$AA41))),"NA")</f>
        <v>NA</v>
      </c>
      <c r="AA41" s="13">
        <v>24</v>
      </c>
    </row>
    <row r="42" spans="1:27" ht="25.5" customHeight="1">
      <c r="A42" s="409" t="s">
        <v>135</v>
      </c>
      <c r="B42" s="282" t="str">
        <f>IF(B$1&lt;=Num_alternatives,IF(INDEX(Inputs_matrix,B$1,$AA42)=0,"",INDEX('Scaling Functions'!$B$106:$B$112,INDEX(Inputs_matrix,B$1,$AA42))),"NA")</f>
        <v>NA</v>
      </c>
      <c r="C42" s="282" t="str">
        <f>IF(C$1&lt;=Num_alternatives,IF(INDEX(Inputs_matrix,C$1,$AA42)=0,"",INDEX('Scaling Functions'!$B$106:$B$112,INDEX(Inputs_matrix,C$1,$AA42))),"NA")</f>
        <v>NA</v>
      </c>
      <c r="D42" s="282" t="str">
        <f>IF(D$1&lt;=Num_alternatives,IF(INDEX(Inputs_matrix,D$1,$AA42)=0,"",INDEX('Scaling Functions'!$B$106:$B$112,INDEX(Inputs_matrix,D$1,$AA42))),"NA")</f>
        <v>NA</v>
      </c>
      <c r="E42" s="282" t="str">
        <f>IF(E$1&lt;=Num_alternatives,IF(INDEX(Inputs_matrix,E$1,$AA42)=0,"",INDEX('Scaling Functions'!$B$106:$B$112,INDEX(Inputs_matrix,E$1,$AA42))),"NA")</f>
        <v>NA</v>
      </c>
      <c r="F42" s="282" t="str">
        <f>IF(F$1&lt;=Num_alternatives,IF(INDEX(Inputs_matrix,F$1,$AA42)=0,"",INDEX('Scaling Functions'!$B$106:$B$112,INDEX(Inputs_matrix,F$1,$AA42))),"NA")</f>
        <v>NA</v>
      </c>
      <c r="G42" s="282" t="str">
        <f>IF(G$1&lt;=Num_alternatives,IF(INDEX(Inputs_matrix,G$1,$AA42)=0,"",INDEX('Scaling Functions'!$B$106:$B$112,INDEX(Inputs_matrix,G$1,$AA42))),"NA")</f>
        <v>NA</v>
      </c>
      <c r="H42" s="282" t="str">
        <f>IF(H$1&lt;=Num_alternatives,IF(INDEX(Inputs_matrix,H$1,$AA42)=0,"",INDEX('Scaling Functions'!$B$106:$B$112,INDEX(Inputs_matrix,H$1,$AA42))),"NA")</f>
        <v>NA</v>
      </c>
      <c r="I42" s="282" t="str">
        <f>IF(I$1&lt;=Num_alternatives,IF(INDEX(Inputs_matrix,I$1,$AA42)=0,"",INDEX('Scaling Functions'!$B$106:$B$112,INDEX(Inputs_matrix,I$1,$AA42))),"NA")</f>
        <v>NA</v>
      </c>
      <c r="J42" s="282" t="str">
        <f>IF(J$1&lt;=Num_alternatives,IF(INDEX(Inputs_matrix,J$1,$AA42)=0,"",INDEX('Scaling Functions'!$B$106:$B$112,INDEX(Inputs_matrix,J$1,$AA42))),"NA")</f>
        <v>NA</v>
      </c>
      <c r="K42" s="282"/>
      <c r="L42" s="282" t="str">
        <f>IF(L$1&lt;=Num_alternatives,IF(INDEX(Inputs_matrix,L$1,$AA42)=0,"",INDEX('Scaling Functions'!$B$106:$B$112,INDEX(Inputs_matrix,L$1,$AA42))),"NA")</f>
        <v>NA</v>
      </c>
      <c r="M42" s="282" t="str">
        <f>IF(M$1&lt;=Num_alternatives,IF(INDEX(Inputs_matrix,M$1,$AA42)=0,"",INDEX('Scaling Functions'!$B$106:$B$112,INDEX(Inputs_matrix,M$1,$AA42))),"NA")</f>
        <v>NA</v>
      </c>
      <c r="N42" s="282" t="str">
        <f>IF(N$1&lt;=Num_alternatives,IF(INDEX(Inputs_matrix,N$1,$AA42)=0,"",INDEX('Scaling Functions'!$B$106:$B$112,INDEX(Inputs_matrix,N$1,$AA42))),"NA")</f>
        <v>NA</v>
      </c>
      <c r="O42" s="282" t="str">
        <f>IF(O$1&lt;=Num_alternatives,IF(INDEX(Inputs_matrix,O$1,$AA42)=0,"",INDEX('Scaling Functions'!$B$106:$B$112,INDEX(Inputs_matrix,O$1,$AA42))),"NA")</f>
        <v>NA</v>
      </c>
      <c r="P42" s="282" t="str">
        <f>IF(P$1&lt;=Num_alternatives,IF(INDEX(Inputs_matrix,P$1,$AA42)=0,"",INDEX('Scaling Functions'!$B$106:$B$112,INDEX(Inputs_matrix,P$1,$AA42))),"NA")</f>
        <v>NA</v>
      </c>
      <c r="Q42" s="282" t="str">
        <f>IF(Q$1&lt;=Num_alternatives,IF(INDEX(Inputs_matrix,Q$1,$AA42)=0,"",INDEX('Scaling Functions'!$B$106:$B$112,INDEX(Inputs_matrix,Q$1,$AA42))),"NA")</f>
        <v>NA</v>
      </c>
      <c r="R42" s="282" t="str">
        <f>IF(R$1&lt;=Num_alternatives,IF(INDEX(Inputs_matrix,R$1,$AA42)=0,"",INDEX('Scaling Functions'!$B$106:$B$112,INDEX(Inputs_matrix,R$1,$AA42))),"NA")</f>
        <v>NA</v>
      </c>
      <c r="S42" s="282" t="str">
        <f>IF(S$1&lt;=Num_alternatives,IF(INDEX(Inputs_matrix,S$1,$AA42)=0,"",INDEX('Scaling Functions'!$B$106:$B$112,INDEX(Inputs_matrix,S$1,$AA42))),"NA")</f>
        <v>NA</v>
      </c>
      <c r="T42" s="282" t="str">
        <f>IF(T$1&lt;=Num_alternatives,IF(INDEX(Inputs_matrix,T$1,$AA42)=0,"",INDEX('Scaling Functions'!$B$106:$B$112,INDEX(Inputs_matrix,T$1,$AA42))),"NA")</f>
        <v>NA</v>
      </c>
      <c r="U42" s="283" t="str">
        <f>IF(U$1&lt;=Num_alternatives,IF(INDEX(Inputs_matrix,U$1,$AA42)=0,"",INDEX('Scaling Functions'!$B$106:$B$112,INDEX(Inputs_matrix,U$1,$AA42))),"NA")</f>
        <v>NA</v>
      </c>
      <c r="AA42" s="13">
        <v>25</v>
      </c>
    </row>
    <row r="43" spans="1:21" ht="25.5" customHeight="1">
      <c r="A43" s="410" t="s">
        <v>46</v>
      </c>
      <c r="B43" s="286"/>
      <c r="C43" s="286"/>
      <c r="D43" s="286"/>
      <c r="E43" s="286"/>
      <c r="F43" s="286"/>
      <c r="G43" s="286"/>
      <c r="H43" s="286"/>
      <c r="I43" s="286"/>
      <c r="J43" s="286"/>
      <c r="K43" s="286"/>
      <c r="L43" s="286"/>
      <c r="M43" s="286"/>
      <c r="N43" s="286"/>
      <c r="O43" s="286"/>
      <c r="P43" s="286"/>
      <c r="Q43" s="286"/>
      <c r="R43" s="286"/>
      <c r="S43" s="286"/>
      <c r="T43" s="286"/>
      <c r="U43" s="287"/>
    </row>
    <row r="44" spans="1:27" ht="29.25" customHeight="1">
      <c r="A44" s="409" t="s">
        <v>134</v>
      </c>
      <c r="B44" s="282" t="str">
        <f>IF(B$1&lt;=Num_alternatives,IF(INDEX(Inputs_matrix,B$1,$AA44)=0,"N/A",INDEX('Scaling Functions'!$B$95:$B$102,INDEX(Inputs_matrix,B$1,$AA44))),"NA")</f>
        <v>Greater than 90%</v>
      </c>
      <c r="C44" s="282" t="str">
        <f>IF(C$1&lt;=Num_alternatives,IF(INDEX(Inputs_matrix,C$1,$AA44)=0,"N/A",INDEX('Scaling Functions'!$B$95:$B$102,INDEX(Inputs_matrix,C$1,$AA44))),"NA")</f>
        <v>Greater than 90%</v>
      </c>
      <c r="D44" s="282" t="str">
        <f>IF(D$1&lt;=Num_alternatives,IF(INDEX(Inputs_matrix,D$1,$AA44)=0,"N/A",INDEX('Scaling Functions'!$B$95:$B$102,INDEX(Inputs_matrix,D$1,$AA44))),"NA")</f>
        <v>Greater than 90%</v>
      </c>
      <c r="E44" s="282" t="str">
        <f>IF(E$1&lt;=Num_alternatives,IF(INDEX(Inputs_matrix,E$1,$AA44)=0,"N/A",INDEX('Scaling Functions'!$B$95:$B$102,INDEX(Inputs_matrix,E$1,$AA44))),"NA")</f>
        <v>Greater than 90%</v>
      </c>
      <c r="F44" s="282" t="str">
        <f>IF(F$1&lt;=Num_alternatives,IF(INDEX(Inputs_matrix,F$1,$AA44)=0,"N/A",INDEX('Scaling Functions'!$B$95:$B$102,INDEX(Inputs_matrix,F$1,$AA44))),"NA")</f>
        <v>Greater than 90%</v>
      </c>
      <c r="G44" s="282" t="str">
        <f>IF(G$1&lt;=Num_alternatives,IF(INDEX(Inputs_matrix,G$1,$AA44)=0,"N/A",INDEX('Scaling Functions'!$B$95:$B$102,INDEX(Inputs_matrix,G$1,$AA44))),"NA")</f>
        <v>Greater than 90%</v>
      </c>
      <c r="H44" s="282" t="str">
        <f>IF(H$1&lt;=Num_alternatives,IF(INDEX(Inputs_matrix,H$1,$AA44)=0,"N/A",INDEX('Scaling Functions'!$B$95:$B$102,INDEX(Inputs_matrix,H$1,$AA44))),"NA")</f>
        <v>Greater than 90%</v>
      </c>
      <c r="I44" s="282" t="str">
        <f>IF(I$1&lt;=Num_alternatives,IF(INDEX(Inputs_matrix,I$1,$AA44)=0,"N/A",INDEX('Scaling Functions'!$B$95:$B$102,INDEX(Inputs_matrix,I$1,$AA44))),"NA")</f>
        <v>Greater than 90%</v>
      </c>
      <c r="J44" s="282" t="str">
        <f>IF(J$1&lt;=Num_alternatives,IF(INDEX(Inputs_matrix,J$1,$AA44)=0,"N/A",INDEX('Scaling Functions'!$B$95:$B$102,INDEX(Inputs_matrix,J$1,$AA44))),"NA")</f>
        <v>Greater than 90%</v>
      </c>
      <c r="K44" s="282" t="str">
        <f>IF(K$1&lt;=Num_alternatives,IF(INDEX(Inputs_matrix,K$1,$AA44)=0,"N/A",INDEX('Scaling Functions'!$B$95:$B$102,INDEX(Inputs_matrix,K$1,$AA44))),"NA")</f>
        <v>NA</v>
      </c>
      <c r="L44" s="282" t="str">
        <f>IF(L$1&lt;=Num_alternatives,IF(INDEX(Inputs_matrix,L$1,$AA44)=0,"N/A",INDEX('Scaling Functions'!$B$95:$B$102,INDEX(Inputs_matrix,L$1,$AA44))),"NA")</f>
        <v>NA</v>
      </c>
      <c r="M44" s="282" t="str">
        <f>IF(M$1&lt;=Num_alternatives,IF(INDEX(Inputs_matrix,M$1,$AA44)=0,"N/A",INDEX('Scaling Functions'!$B$95:$B$102,INDEX(Inputs_matrix,M$1,$AA44))),"NA")</f>
        <v>NA</v>
      </c>
      <c r="N44" s="282" t="str">
        <f>IF(N$1&lt;=Num_alternatives,IF(INDEX(Inputs_matrix,N$1,$AA44)=0,"N/A",INDEX('Scaling Functions'!$B$95:$B$102,INDEX(Inputs_matrix,N$1,$AA44))),"NA")</f>
        <v>NA</v>
      </c>
      <c r="O44" s="282" t="str">
        <f>IF(O$1&lt;=Num_alternatives,IF(INDEX(Inputs_matrix,O$1,$AA44)=0,"N/A",INDEX('Scaling Functions'!$B$95:$B$102,INDEX(Inputs_matrix,O$1,$AA44))),"NA")</f>
        <v>NA</v>
      </c>
      <c r="P44" s="282" t="str">
        <f>IF(P$1&lt;=Num_alternatives,IF(INDEX(Inputs_matrix,P$1,$AA44)=0,"N/A",INDEX('Scaling Functions'!$B$95:$B$102,INDEX(Inputs_matrix,P$1,$AA44))),"NA")</f>
        <v>NA</v>
      </c>
      <c r="Q44" s="282" t="str">
        <f>IF(Q$1&lt;=Num_alternatives,IF(INDEX(Inputs_matrix,Q$1,$AA44)=0,"N/A",INDEX('Scaling Functions'!$B$95:$B$102,INDEX(Inputs_matrix,Q$1,$AA44))),"NA")</f>
        <v>NA</v>
      </c>
      <c r="R44" s="282" t="str">
        <f>IF(R$1&lt;=Num_alternatives,IF(INDEX(Inputs_matrix,R$1,$AA44)=0,"N/A",INDEX('Scaling Functions'!$B$95:$B$102,INDEX(Inputs_matrix,R$1,$AA44))),"NA")</f>
        <v>NA</v>
      </c>
      <c r="S44" s="282" t="str">
        <f>IF(S$1&lt;=Num_alternatives,IF(INDEX(Inputs_matrix,S$1,$AA44)=0,"N/A",INDEX('Scaling Functions'!$B$95:$B$102,INDEX(Inputs_matrix,S$1,$AA44))),"NA")</f>
        <v>NA</v>
      </c>
      <c r="T44" s="282" t="str">
        <f>IF(T$1&lt;=Num_alternatives,IF(INDEX(Inputs_matrix,T$1,$AA44)=0,"N/A",INDEX('Scaling Functions'!$B$95:$B$102,INDEX(Inputs_matrix,T$1,$AA44))),"NA")</f>
        <v>NA</v>
      </c>
      <c r="U44" s="283" t="str">
        <f>IF(U$1&lt;=Num_alternatives,IF(INDEX(Inputs_matrix,U$1,$AA44)=0,"N/A",INDEX('Scaling Functions'!$B$95:$B$102,INDEX(Inputs_matrix,U$1,$AA44))),"NA")</f>
        <v>NA</v>
      </c>
      <c r="AA44" s="13">
        <v>26</v>
      </c>
    </row>
    <row r="45" spans="1:27" ht="21.75" customHeight="1">
      <c r="A45" s="409" t="s">
        <v>135</v>
      </c>
      <c r="B45" s="282" t="str">
        <f>IF(B$1&lt;=Num_alternatives,IF(INDEX(Inputs_matrix,B$1,$AA45)=0,"",INDEX('Scaling Functions'!$B$106:$B$112,INDEX(Inputs_matrix,B$1,$AA45))),"NA")</f>
        <v>Significant impact</v>
      </c>
      <c r="C45" s="282" t="str">
        <f>IF(C$1&lt;=Num_alternatives,IF(INDEX(Inputs_matrix,C$1,$AA45)=0,"",INDEX('Scaling Functions'!$B$106:$B$112,INDEX(Inputs_matrix,C$1,$AA45))),"NA")</f>
        <v>Significant impact</v>
      </c>
      <c r="D45" s="282" t="str">
        <f>IF(D$1&lt;=Num_alternatives,IF(INDEX(Inputs_matrix,D$1,$AA45)=0,"",INDEX('Scaling Functions'!$B$106:$B$112,INDEX(Inputs_matrix,D$1,$AA45))),"NA")</f>
        <v>Moderate impact</v>
      </c>
      <c r="E45" s="282" t="str">
        <f>IF(E$1&lt;=Num_alternatives,IF(INDEX(Inputs_matrix,E$1,$AA45)=0,"",INDEX('Scaling Functions'!$B$106:$B$112,INDEX(Inputs_matrix,E$1,$AA45))),"NA")</f>
        <v>Moderate impact</v>
      </c>
      <c r="F45" s="282" t="str">
        <f>IF(F$1&lt;=Num_alternatives,IF(INDEX(Inputs_matrix,F$1,$AA45)=0,"",INDEX('Scaling Functions'!$B$106:$B$112,INDEX(Inputs_matrix,F$1,$AA45))),"NA")</f>
        <v>Moderate impact</v>
      </c>
      <c r="G45" s="282" t="str">
        <f>IF(G$1&lt;=Num_alternatives,IF(INDEX(Inputs_matrix,G$1,$AA45)=0,"",INDEX('Scaling Functions'!$B$106:$B$112,INDEX(Inputs_matrix,G$1,$AA45))),"NA")</f>
        <v>Moderate impact</v>
      </c>
      <c r="H45" s="282" t="str">
        <f>IF(H$1&lt;=Num_alternatives,IF(INDEX(Inputs_matrix,H$1,$AA45)=0,"",INDEX('Scaling Functions'!$B$106:$B$112,INDEX(Inputs_matrix,H$1,$AA45))),"NA")</f>
        <v>Moderate impact</v>
      </c>
      <c r="I45" s="282" t="str">
        <f>IF(I$1&lt;=Num_alternatives,IF(INDEX(Inputs_matrix,I$1,$AA45)=0,"",INDEX('Scaling Functions'!$B$106:$B$112,INDEX(Inputs_matrix,I$1,$AA45))),"NA")</f>
        <v>Moderate impact</v>
      </c>
      <c r="J45" s="282" t="str">
        <f>IF(J$1&lt;=Num_alternatives,IF(INDEX(Inputs_matrix,J$1,$AA45)=0,"",INDEX('Scaling Functions'!$B$106:$B$112,INDEX(Inputs_matrix,J$1,$AA45))),"NA")</f>
        <v>Moderate impact</v>
      </c>
      <c r="K45" s="282" t="str">
        <f>IF(K$1&lt;=Num_alternatives,IF(INDEX(Inputs_matrix,K$1,$AA45)=0,"",INDEX('Scaling Functions'!$B$106:$B$112,INDEX(Inputs_matrix,K$1,$AA45))),"NA")</f>
        <v>NA</v>
      </c>
      <c r="L45" s="282" t="str">
        <f>IF(L$1&lt;=Num_alternatives,IF(INDEX(Inputs_matrix,L$1,$AA45)=0,"",INDEX('Scaling Functions'!$B$106:$B$112,INDEX(Inputs_matrix,L$1,$AA45))),"NA")</f>
        <v>NA</v>
      </c>
      <c r="M45" s="282" t="str">
        <f>IF(M$1&lt;=Num_alternatives,IF(INDEX(Inputs_matrix,M$1,$AA45)=0,"",INDEX('Scaling Functions'!$B$106:$B$112,INDEX(Inputs_matrix,M$1,$AA45))),"NA")</f>
        <v>NA</v>
      </c>
      <c r="N45" s="282" t="str">
        <f>IF(N$1&lt;=Num_alternatives,IF(INDEX(Inputs_matrix,N$1,$AA45)=0,"",INDEX('Scaling Functions'!$B$106:$B$112,INDEX(Inputs_matrix,N$1,$AA45))),"NA")</f>
        <v>NA</v>
      </c>
      <c r="O45" s="282" t="str">
        <f>IF(O$1&lt;=Num_alternatives,IF(INDEX(Inputs_matrix,O$1,$AA45)=0,"",INDEX('Scaling Functions'!$B$106:$B$112,INDEX(Inputs_matrix,O$1,$AA45))),"NA")</f>
        <v>NA</v>
      </c>
      <c r="P45" s="282" t="str">
        <f>IF(P$1&lt;=Num_alternatives,IF(INDEX(Inputs_matrix,P$1,$AA45)=0,"",INDEX('Scaling Functions'!$B$106:$B$112,INDEX(Inputs_matrix,P$1,$AA45))),"NA")</f>
        <v>NA</v>
      </c>
      <c r="Q45" s="282" t="str">
        <f>IF(Q$1&lt;=Num_alternatives,IF(INDEX(Inputs_matrix,Q$1,$AA45)=0,"",INDEX('Scaling Functions'!$B$106:$B$112,INDEX(Inputs_matrix,Q$1,$AA45))),"NA")</f>
        <v>NA</v>
      </c>
      <c r="R45" s="282" t="str">
        <f>IF(R$1&lt;=Num_alternatives,IF(INDEX(Inputs_matrix,R$1,$AA45)=0,"",INDEX('Scaling Functions'!$B$106:$B$112,INDEX(Inputs_matrix,R$1,$AA45))),"NA")</f>
        <v>NA</v>
      </c>
      <c r="S45" s="282" t="str">
        <f>IF(S$1&lt;=Num_alternatives,IF(INDEX(Inputs_matrix,S$1,$AA45)=0,"",INDEX('Scaling Functions'!$B$106:$B$112,INDEX(Inputs_matrix,S$1,$AA45))),"NA")</f>
        <v>NA</v>
      </c>
      <c r="T45" s="282" t="str">
        <f>IF(T$1&lt;=Num_alternatives,IF(INDEX(Inputs_matrix,T$1,$AA45)=0,"",INDEX('Scaling Functions'!$B$106:$B$112,INDEX(Inputs_matrix,T$1,$AA45))),"NA")</f>
        <v>NA</v>
      </c>
      <c r="U45" s="283" t="str">
        <f>IF(U$1&lt;=Num_alternatives,IF(INDEX(Inputs_matrix,U$1,$AA45)=0,"",INDEX('Scaling Functions'!$B$106:$B$112,INDEX(Inputs_matrix,U$1,$AA45))),"NA")</f>
        <v>NA</v>
      </c>
      <c r="AA45" s="13">
        <v>27</v>
      </c>
    </row>
    <row r="46" spans="1:21" ht="25.5" customHeight="1">
      <c r="A46" s="410" t="s">
        <v>305</v>
      </c>
      <c r="B46" s="282"/>
      <c r="C46" s="282"/>
      <c r="D46" s="282"/>
      <c r="E46" s="282"/>
      <c r="F46" s="282"/>
      <c r="G46" s="282"/>
      <c r="H46" s="282"/>
      <c r="I46" s="282"/>
      <c r="J46" s="282"/>
      <c r="K46" s="282"/>
      <c r="L46" s="282"/>
      <c r="M46" s="282"/>
      <c r="N46" s="282"/>
      <c r="O46" s="282"/>
      <c r="P46" s="282"/>
      <c r="Q46" s="282"/>
      <c r="R46" s="282"/>
      <c r="S46" s="282"/>
      <c r="T46" s="282"/>
      <c r="U46" s="283"/>
    </row>
    <row r="47" spans="1:27" ht="36" customHeight="1">
      <c r="A47" s="409" t="s">
        <v>134</v>
      </c>
      <c r="B47" s="282" t="str">
        <f>IF(B$1&lt;=Num_alternatives,IF(INDEX(Inputs_matrix,B$1,$AA47)=0,"N/A",INDEX('Scaling Functions'!$B$95:$B$102,INDEX(Inputs_matrix,B$1,$AA47))),"NA")</f>
        <v>NA</v>
      </c>
      <c r="C47" s="282" t="str">
        <f>IF(C$1&lt;=Num_alternatives,IF(INDEX(Inputs_matrix,C$1,$AA47)=0,"N/A",INDEX('Scaling Functions'!$B$95:$B$102,INDEX(Inputs_matrix,C$1,$AA47))),"NA")</f>
        <v>NA</v>
      </c>
      <c r="D47" s="282" t="str">
        <f>IF(D$1&lt;=Num_alternatives,IF(INDEX(Inputs_matrix,D$1,$AA47)=0,"N/A",INDEX('Scaling Functions'!$B$95:$B$102,INDEX(Inputs_matrix,D$1,$AA47))),"NA")</f>
        <v>NA</v>
      </c>
      <c r="E47" s="282" t="str">
        <f>IF(E$1&lt;=Num_alternatives,IF(INDEX(Inputs_matrix,E$1,$AA47)=0,"N/A",INDEX('Scaling Functions'!$B$95:$B$102,INDEX(Inputs_matrix,E$1,$AA47))),"NA")</f>
        <v>NA</v>
      </c>
      <c r="F47" s="282" t="str">
        <f>IF(F$1&lt;=Num_alternatives,IF(INDEX(Inputs_matrix,F$1,$AA47)=0,"N/A",INDEX('Scaling Functions'!$B$95:$B$102,INDEX(Inputs_matrix,F$1,$AA47))),"NA")</f>
        <v>NA</v>
      </c>
      <c r="G47" s="282" t="str">
        <f>IF(G$1&lt;=Num_alternatives,IF(INDEX(Inputs_matrix,G$1,$AA47)=0,"N/A",INDEX('Scaling Functions'!$B$95:$B$102,INDEX(Inputs_matrix,G$1,$AA47))),"NA")</f>
        <v>NA</v>
      </c>
      <c r="H47" s="282" t="str">
        <f>IF(H$1&lt;=Num_alternatives,IF(INDEX(Inputs_matrix,H$1,$AA47)=0,"N/A",INDEX('Scaling Functions'!$B$95:$B$102,INDEX(Inputs_matrix,H$1,$AA47))),"NA")</f>
        <v>NA</v>
      </c>
      <c r="I47" s="282" t="str">
        <f>IF(I$1&lt;=Num_alternatives,IF(INDEX(Inputs_matrix,I$1,$AA47)=0,"N/A",INDEX('Scaling Functions'!$B$95:$B$102,INDEX(Inputs_matrix,I$1,$AA47))),"NA")</f>
        <v>NA</v>
      </c>
      <c r="J47" s="282" t="str">
        <f>IF(J$1&lt;=Num_alternatives,IF(INDEX(Inputs_matrix,J$1,$AA47)=0,"N/A",INDEX('Scaling Functions'!$B$95:$B$102,INDEX(Inputs_matrix,J$1,$AA47))),"NA")</f>
        <v>NA</v>
      </c>
      <c r="K47" s="282"/>
      <c r="L47" s="282" t="str">
        <f>IF(L$1&lt;=Num_alternatives,IF(INDEX(Inputs_matrix,L$1,$AA47)=0,"N/A",INDEX('Scaling Functions'!$B$95:$B$102,INDEX(Inputs_matrix,L$1,$AA47))),"NA")</f>
        <v>NA</v>
      </c>
      <c r="M47" s="282" t="str">
        <f>IF(M$1&lt;=Num_alternatives,IF(INDEX(Inputs_matrix,M$1,$AA47)=0,"N/A",INDEX('Scaling Functions'!$B$95:$B$102,INDEX(Inputs_matrix,M$1,$AA47))),"NA")</f>
        <v>NA</v>
      </c>
      <c r="N47" s="282" t="str">
        <f>IF(N$1&lt;=Num_alternatives,IF(INDEX(Inputs_matrix,N$1,$AA47)=0,"N/A",INDEX('Scaling Functions'!$B$95:$B$102,INDEX(Inputs_matrix,N$1,$AA47))),"NA")</f>
        <v>NA</v>
      </c>
      <c r="O47" s="282" t="str">
        <f>IF(O$1&lt;=Num_alternatives,IF(INDEX(Inputs_matrix,O$1,$AA47)=0,"N/A",INDEX('Scaling Functions'!$B$95:$B$102,INDEX(Inputs_matrix,O$1,$AA47))),"NA")</f>
        <v>NA</v>
      </c>
      <c r="P47" s="282" t="str">
        <f>IF(P$1&lt;=Num_alternatives,IF(INDEX(Inputs_matrix,P$1,$AA47)=0,"N/A",INDEX('Scaling Functions'!$B$95:$B$102,INDEX(Inputs_matrix,P$1,$AA47))),"NA")</f>
        <v>NA</v>
      </c>
      <c r="Q47" s="282" t="str">
        <f>IF(Q$1&lt;=Num_alternatives,IF(INDEX(Inputs_matrix,Q$1,$AA47)=0,"N/A",INDEX('Scaling Functions'!$B$95:$B$102,INDEX(Inputs_matrix,Q$1,$AA47))),"NA")</f>
        <v>NA</v>
      </c>
      <c r="R47" s="282" t="str">
        <f>IF(R$1&lt;=Num_alternatives,IF(INDEX(Inputs_matrix,R$1,$AA47)=0,"N/A",INDEX('Scaling Functions'!$B$95:$B$102,INDEX(Inputs_matrix,R$1,$AA47))),"NA")</f>
        <v>NA</v>
      </c>
      <c r="S47" s="282" t="str">
        <f>IF(S$1&lt;=Num_alternatives,IF(INDEX(Inputs_matrix,S$1,$AA47)=0,"N/A",INDEX('Scaling Functions'!$B$95:$B$102,INDEX(Inputs_matrix,S$1,$AA47))),"NA")</f>
        <v>NA</v>
      </c>
      <c r="T47" s="282" t="str">
        <f>IF(T$1&lt;=Num_alternatives,IF(INDEX(Inputs_matrix,T$1,$AA47)=0,"N/A",INDEX('Scaling Functions'!$B$95:$B$102,INDEX(Inputs_matrix,T$1,$AA47))),"NA")</f>
        <v>NA</v>
      </c>
      <c r="U47" s="283" t="str">
        <f>IF(U$1&lt;=Num_alternatives,IF(INDEX(Inputs_matrix,U$1,$AA47)=0,"N/A",INDEX('Scaling Functions'!$B$95:$B$102,INDEX(Inputs_matrix,U$1,$AA47))),"NA")</f>
        <v>NA</v>
      </c>
      <c r="AA47" s="13">
        <v>28</v>
      </c>
    </row>
    <row r="48" spans="1:27" ht="25.5" customHeight="1">
      <c r="A48" s="409" t="s">
        <v>135</v>
      </c>
      <c r="B48" s="282" t="str">
        <f>IF(B$1&lt;=Num_alternatives,IF(INDEX(Inputs_matrix,B$1,$AA48)=0,"",INDEX('Scaling Functions'!$B$106:$B$112,INDEX(Inputs_matrix,B$1,$AA48))),"NA")</f>
        <v>NA</v>
      </c>
      <c r="C48" s="282" t="str">
        <f>IF(C$1&lt;=Num_alternatives,IF(INDEX(Inputs_matrix,C$1,$AA48)=0,"",INDEX('Scaling Functions'!$B$106:$B$112,INDEX(Inputs_matrix,C$1,$AA48))),"NA")</f>
        <v>NA</v>
      </c>
      <c r="D48" s="282" t="str">
        <f>IF(D$1&lt;=Num_alternatives,IF(INDEX(Inputs_matrix,D$1,$AA48)=0,"",INDEX('Scaling Functions'!$B$106:$B$112,INDEX(Inputs_matrix,D$1,$AA48))),"NA")</f>
        <v>NA</v>
      </c>
      <c r="E48" s="282" t="str">
        <f>IF(E$1&lt;=Num_alternatives,IF(INDEX(Inputs_matrix,E$1,$AA48)=0,"",INDEX('Scaling Functions'!$B$106:$B$112,INDEX(Inputs_matrix,E$1,$AA48))),"NA")</f>
        <v>NA</v>
      </c>
      <c r="F48" s="282" t="str">
        <f>IF(F$1&lt;=Num_alternatives,IF(INDEX(Inputs_matrix,F$1,$AA48)=0,"",INDEX('Scaling Functions'!$B$106:$B$112,INDEX(Inputs_matrix,F$1,$AA48))),"NA")</f>
        <v>NA</v>
      </c>
      <c r="G48" s="282" t="str">
        <f>IF(G$1&lt;=Num_alternatives,IF(INDEX(Inputs_matrix,G$1,$AA48)=0,"",INDEX('Scaling Functions'!$B$106:$B$112,INDEX(Inputs_matrix,G$1,$AA48))),"NA")</f>
        <v>NA</v>
      </c>
      <c r="H48" s="282" t="str">
        <f>IF(H$1&lt;=Num_alternatives,IF(INDEX(Inputs_matrix,H$1,$AA48)=0,"",INDEX('Scaling Functions'!$B$106:$B$112,INDEX(Inputs_matrix,H$1,$AA48))),"NA")</f>
        <v>NA</v>
      </c>
      <c r="I48" s="282" t="str">
        <f>IF(I$1&lt;=Num_alternatives,IF(INDEX(Inputs_matrix,I$1,$AA48)=0,"",INDEX('Scaling Functions'!$B$106:$B$112,INDEX(Inputs_matrix,I$1,$AA48))),"NA")</f>
        <v>NA</v>
      </c>
      <c r="J48" s="282" t="str">
        <f>IF(J$1&lt;=Num_alternatives,IF(INDEX(Inputs_matrix,J$1,$AA48)=0,"",INDEX('Scaling Functions'!$B$106:$B$112,INDEX(Inputs_matrix,J$1,$AA48))),"NA")</f>
        <v>NA</v>
      </c>
      <c r="K48" s="282"/>
      <c r="L48" s="282" t="str">
        <f>IF(L$1&lt;=Num_alternatives,IF(INDEX(Inputs_matrix,L$1,$AA48)=0,"",INDEX('Scaling Functions'!$B$106:$B$112,INDEX(Inputs_matrix,L$1,$AA48))),"NA")</f>
        <v>NA</v>
      </c>
      <c r="M48" s="282" t="str">
        <f>IF(M$1&lt;=Num_alternatives,IF(INDEX(Inputs_matrix,M$1,$AA48)=0,"",INDEX('Scaling Functions'!$B$106:$B$112,INDEX(Inputs_matrix,M$1,$AA48))),"NA")</f>
        <v>NA</v>
      </c>
      <c r="N48" s="282" t="str">
        <f>IF(N$1&lt;=Num_alternatives,IF(INDEX(Inputs_matrix,N$1,$AA48)=0,"",INDEX('Scaling Functions'!$B$106:$B$112,INDEX(Inputs_matrix,N$1,$AA48))),"NA")</f>
        <v>NA</v>
      </c>
      <c r="O48" s="282" t="str">
        <f>IF(O$1&lt;=Num_alternatives,IF(INDEX(Inputs_matrix,O$1,$AA48)=0,"",INDEX('Scaling Functions'!$B$106:$B$112,INDEX(Inputs_matrix,O$1,$AA48))),"NA")</f>
        <v>NA</v>
      </c>
      <c r="P48" s="282" t="str">
        <f>IF(P$1&lt;=Num_alternatives,IF(INDEX(Inputs_matrix,P$1,$AA48)=0,"",INDEX('Scaling Functions'!$B$106:$B$112,INDEX(Inputs_matrix,P$1,$AA48))),"NA")</f>
        <v>NA</v>
      </c>
      <c r="Q48" s="282" t="str">
        <f>IF(Q$1&lt;=Num_alternatives,IF(INDEX(Inputs_matrix,Q$1,$AA48)=0,"",INDEX('Scaling Functions'!$B$106:$B$112,INDEX(Inputs_matrix,Q$1,$AA48))),"NA")</f>
        <v>NA</v>
      </c>
      <c r="R48" s="282" t="str">
        <f>IF(R$1&lt;=Num_alternatives,IF(INDEX(Inputs_matrix,R$1,$AA48)=0,"",INDEX('Scaling Functions'!$B$106:$B$112,INDEX(Inputs_matrix,R$1,$AA48))),"NA")</f>
        <v>NA</v>
      </c>
      <c r="S48" s="282" t="str">
        <f>IF(S$1&lt;=Num_alternatives,IF(INDEX(Inputs_matrix,S$1,$AA48)=0,"",INDEX('Scaling Functions'!$B$106:$B$112,INDEX(Inputs_matrix,S$1,$AA48))),"NA")</f>
        <v>NA</v>
      </c>
      <c r="T48" s="282" t="str">
        <f>IF(T$1&lt;=Num_alternatives,IF(INDEX(Inputs_matrix,T$1,$AA48)=0,"",INDEX('Scaling Functions'!$B$106:$B$112,INDEX(Inputs_matrix,T$1,$AA48))),"NA")</f>
        <v>NA</v>
      </c>
      <c r="U48" s="283" t="str">
        <f>IF(U$1&lt;=Num_alternatives,IF(INDEX(Inputs_matrix,U$1,$AA48)=0,"",INDEX('Scaling Functions'!$B$106:$B$112,INDEX(Inputs_matrix,U$1,$AA48))),"NA")</f>
        <v>NA</v>
      </c>
      <c r="AA48" s="13">
        <v>29</v>
      </c>
    </row>
    <row r="49" spans="1:21" ht="25.5" customHeight="1">
      <c r="A49" s="410" t="s">
        <v>11</v>
      </c>
      <c r="B49" s="282"/>
      <c r="C49" s="282"/>
      <c r="D49" s="282"/>
      <c r="E49" s="282"/>
      <c r="F49" s="282"/>
      <c r="G49" s="282"/>
      <c r="H49" s="282"/>
      <c r="I49" s="282"/>
      <c r="J49" s="282"/>
      <c r="K49" s="282"/>
      <c r="L49" s="282"/>
      <c r="M49" s="282"/>
      <c r="N49" s="282"/>
      <c r="O49" s="282"/>
      <c r="P49" s="282"/>
      <c r="Q49" s="282"/>
      <c r="R49" s="282"/>
      <c r="S49" s="282"/>
      <c r="T49" s="282"/>
      <c r="U49" s="283"/>
    </row>
    <row r="50" spans="1:27" ht="36" customHeight="1">
      <c r="A50" s="409" t="s">
        <v>134</v>
      </c>
      <c r="B50" s="282" t="str">
        <f>IF(B$1&lt;=Num_alternatives,IF(INDEX(Inputs_matrix,B$1,$AA50)=0,"N/A",INDEX('Scaling Functions'!$B$95:$B$102,INDEX(Inputs_matrix,B$1,$AA50))),"NA")</f>
        <v>NA</v>
      </c>
      <c r="C50" s="282" t="str">
        <f>IF(C$1&lt;=Num_alternatives,IF(INDEX(Inputs_matrix,C$1,$AA50)=0,"N/A",INDEX('Scaling Functions'!$B$95:$B$102,INDEX(Inputs_matrix,C$1,$AA50))),"NA")</f>
        <v>NA</v>
      </c>
      <c r="D50" s="282" t="str">
        <f>IF(D$1&lt;=Num_alternatives,IF(INDEX(Inputs_matrix,D$1,$AA50)=0,"N/A",INDEX('Scaling Functions'!$B$95:$B$102,INDEX(Inputs_matrix,D$1,$AA50))),"NA")</f>
        <v>NA</v>
      </c>
      <c r="E50" s="282" t="str">
        <f>IF(E$1&lt;=Num_alternatives,IF(INDEX(Inputs_matrix,E$1,$AA50)=0,"N/A",INDEX('Scaling Functions'!$B$95:$B$102,INDEX(Inputs_matrix,E$1,$AA50))),"NA")</f>
        <v>NA</v>
      </c>
      <c r="F50" s="282" t="str">
        <f>IF(F$1&lt;=Num_alternatives,IF(INDEX(Inputs_matrix,F$1,$AA50)=0,"N/A",INDEX('Scaling Functions'!$B$95:$B$102,INDEX(Inputs_matrix,F$1,$AA50))),"NA")</f>
        <v>NA</v>
      </c>
      <c r="G50" s="282" t="str">
        <f>IF(G$1&lt;=Num_alternatives,IF(INDEX(Inputs_matrix,G$1,$AA50)=0,"N/A",INDEX('Scaling Functions'!$B$95:$B$102,INDEX(Inputs_matrix,G$1,$AA50))),"NA")</f>
        <v>NA</v>
      </c>
      <c r="H50" s="282" t="str">
        <f>IF(H$1&lt;=Num_alternatives,IF(INDEX(Inputs_matrix,H$1,$AA50)=0,"N/A",INDEX('Scaling Functions'!$B$95:$B$102,INDEX(Inputs_matrix,H$1,$AA50))),"NA")</f>
        <v>NA</v>
      </c>
      <c r="I50" s="282" t="str">
        <f>IF(I$1&lt;=Num_alternatives,IF(INDEX(Inputs_matrix,I$1,$AA50)=0,"N/A",INDEX('Scaling Functions'!$B$95:$B$102,INDEX(Inputs_matrix,I$1,$AA50))),"NA")</f>
        <v>NA</v>
      </c>
      <c r="J50" s="282" t="str">
        <f>IF(J$1&lt;=Num_alternatives,IF(INDEX(Inputs_matrix,J$1,$AA50)=0,"N/A",INDEX('Scaling Functions'!$B$95:$B$102,INDEX(Inputs_matrix,J$1,$AA50))),"NA")</f>
        <v>NA</v>
      </c>
      <c r="K50" s="282"/>
      <c r="L50" s="282" t="str">
        <f>IF(L$1&lt;=Num_alternatives,IF(INDEX(Inputs_matrix,L$1,$AA50)=0,"N/A",INDEX('Scaling Functions'!$B$95:$B$102,INDEX(Inputs_matrix,L$1,$AA50))),"NA")</f>
        <v>NA</v>
      </c>
      <c r="M50" s="282" t="str">
        <f>IF(M$1&lt;=Num_alternatives,IF(INDEX(Inputs_matrix,M$1,$AA50)=0,"N/A",INDEX('Scaling Functions'!$B$95:$B$102,INDEX(Inputs_matrix,M$1,$AA50))),"NA")</f>
        <v>NA</v>
      </c>
      <c r="N50" s="282" t="str">
        <f>IF(N$1&lt;=Num_alternatives,IF(INDEX(Inputs_matrix,N$1,$AA50)=0,"N/A",INDEX('Scaling Functions'!$B$95:$B$102,INDEX(Inputs_matrix,N$1,$AA50))),"NA")</f>
        <v>NA</v>
      </c>
      <c r="O50" s="282" t="str">
        <f>IF(O$1&lt;=Num_alternatives,IF(INDEX(Inputs_matrix,O$1,$AA50)=0,"N/A",INDEX('Scaling Functions'!$B$95:$B$102,INDEX(Inputs_matrix,O$1,$AA50))),"NA")</f>
        <v>NA</v>
      </c>
      <c r="P50" s="282" t="str">
        <f>IF(P$1&lt;=Num_alternatives,IF(INDEX(Inputs_matrix,P$1,$AA50)=0,"N/A",INDEX('Scaling Functions'!$B$95:$B$102,INDEX(Inputs_matrix,P$1,$AA50))),"NA")</f>
        <v>NA</v>
      </c>
      <c r="Q50" s="282" t="str">
        <f>IF(Q$1&lt;=Num_alternatives,IF(INDEX(Inputs_matrix,Q$1,$AA50)=0,"N/A",INDEX('Scaling Functions'!$B$95:$B$102,INDEX(Inputs_matrix,Q$1,$AA50))),"NA")</f>
        <v>NA</v>
      </c>
      <c r="R50" s="282" t="str">
        <f>IF(R$1&lt;=Num_alternatives,IF(INDEX(Inputs_matrix,R$1,$AA50)=0,"N/A",INDEX('Scaling Functions'!$B$95:$B$102,INDEX(Inputs_matrix,R$1,$AA50))),"NA")</f>
        <v>NA</v>
      </c>
      <c r="S50" s="282" t="str">
        <f>IF(S$1&lt;=Num_alternatives,IF(INDEX(Inputs_matrix,S$1,$AA50)=0,"N/A",INDEX('Scaling Functions'!$B$95:$B$102,INDEX(Inputs_matrix,S$1,$AA50))),"NA")</f>
        <v>NA</v>
      </c>
      <c r="T50" s="282" t="str">
        <f>IF(T$1&lt;=Num_alternatives,IF(INDEX(Inputs_matrix,T$1,$AA50)=0,"N/A",INDEX('Scaling Functions'!$B$95:$B$102,INDEX(Inputs_matrix,T$1,$AA50))),"NA")</f>
        <v>NA</v>
      </c>
      <c r="U50" s="283" t="str">
        <f>IF(U$1&lt;=Num_alternatives,IF(INDEX(Inputs_matrix,U$1,$AA50)=0,"N/A",INDEX('Scaling Functions'!$B$95:$B$102,INDEX(Inputs_matrix,U$1,$AA50))),"NA")</f>
        <v>NA</v>
      </c>
      <c r="AA50" s="13">
        <v>30</v>
      </c>
    </row>
    <row r="51" spans="1:27" ht="25.5" customHeight="1">
      <c r="A51" s="409" t="s">
        <v>135</v>
      </c>
      <c r="B51" s="282" t="str">
        <f>IF(B$1&lt;=Num_alternatives,IF(INDEX(Inputs_matrix,B$1,$AA51)=0,"",INDEX('Scaling Functions'!$B$106:$B$112,INDEX(Inputs_matrix,B$1,$AA51))),"NA")</f>
        <v>NA</v>
      </c>
      <c r="C51" s="282" t="str">
        <f>IF(C$1&lt;=Num_alternatives,IF(INDEX(Inputs_matrix,C$1,$AA51)=0,"",INDEX('Scaling Functions'!$B$106:$B$112,INDEX(Inputs_matrix,C$1,$AA51))),"NA")</f>
        <v>NA</v>
      </c>
      <c r="D51" s="282" t="str">
        <f>IF(D$1&lt;=Num_alternatives,IF(INDEX(Inputs_matrix,D$1,$AA51)=0,"",INDEX('Scaling Functions'!$B$106:$B$112,INDEX(Inputs_matrix,D$1,$AA51))),"NA")</f>
        <v>NA</v>
      </c>
      <c r="E51" s="282" t="str">
        <f>IF(E$1&lt;=Num_alternatives,IF(INDEX(Inputs_matrix,E$1,$AA51)=0,"",INDEX('Scaling Functions'!$B$106:$B$112,INDEX(Inputs_matrix,E$1,$AA51))),"NA")</f>
        <v>NA</v>
      </c>
      <c r="F51" s="282" t="str">
        <f>IF(F$1&lt;=Num_alternatives,IF(INDEX(Inputs_matrix,F$1,$AA51)=0,"",INDEX('Scaling Functions'!$B$106:$B$112,INDEX(Inputs_matrix,F$1,$AA51))),"NA")</f>
        <v>NA</v>
      </c>
      <c r="G51" s="282" t="str">
        <f>IF(G$1&lt;=Num_alternatives,IF(INDEX(Inputs_matrix,G$1,$AA51)=0,"",INDEX('Scaling Functions'!$B$106:$B$112,INDEX(Inputs_matrix,G$1,$AA51))),"NA")</f>
        <v>NA</v>
      </c>
      <c r="H51" s="282" t="str">
        <f>IF(H$1&lt;=Num_alternatives,IF(INDEX(Inputs_matrix,H$1,$AA51)=0,"",INDEX('Scaling Functions'!$B$106:$B$112,INDEX(Inputs_matrix,H$1,$AA51))),"NA")</f>
        <v>NA</v>
      </c>
      <c r="I51" s="282" t="str">
        <f>IF(I$1&lt;=Num_alternatives,IF(INDEX(Inputs_matrix,I$1,$AA51)=0,"",INDEX('Scaling Functions'!$B$106:$B$112,INDEX(Inputs_matrix,I$1,$AA51))),"NA")</f>
        <v>NA</v>
      </c>
      <c r="J51" s="282" t="str">
        <f>IF(J$1&lt;=Num_alternatives,IF(INDEX(Inputs_matrix,J$1,$AA51)=0,"",INDEX('Scaling Functions'!$B$106:$B$112,INDEX(Inputs_matrix,J$1,$AA51))),"NA")</f>
        <v>NA</v>
      </c>
      <c r="K51" s="282"/>
      <c r="L51" s="282" t="str">
        <f>IF(L$1&lt;=Num_alternatives,IF(INDEX(Inputs_matrix,L$1,$AA51)=0,"",INDEX('Scaling Functions'!$B$106:$B$112,INDEX(Inputs_matrix,L$1,$AA51))),"NA")</f>
        <v>NA</v>
      </c>
      <c r="M51" s="282" t="str">
        <f>IF(M$1&lt;=Num_alternatives,IF(INDEX(Inputs_matrix,M$1,$AA51)=0,"",INDEX('Scaling Functions'!$B$106:$B$112,INDEX(Inputs_matrix,M$1,$AA51))),"NA")</f>
        <v>NA</v>
      </c>
      <c r="N51" s="282" t="str">
        <f>IF(N$1&lt;=Num_alternatives,IF(INDEX(Inputs_matrix,N$1,$AA51)=0,"",INDEX('Scaling Functions'!$B$106:$B$112,INDEX(Inputs_matrix,N$1,$AA51))),"NA")</f>
        <v>NA</v>
      </c>
      <c r="O51" s="282" t="str">
        <f>IF(O$1&lt;=Num_alternatives,IF(INDEX(Inputs_matrix,O$1,$AA51)=0,"",INDEX('Scaling Functions'!$B$106:$B$112,INDEX(Inputs_matrix,O$1,$AA51))),"NA")</f>
        <v>NA</v>
      </c>
      <c r="P51" s="282" t="str">
        <f>IF(P$1&lt;=Num_alternatives,IF(INDEX(Inputs_matrix,P$1,$AA51)=0,"",INDEX('Scaling Functions'!$B$106:$B$112,INDEX(Inputs_matrix,P$1,$AA51))),"NA")</f>
        <v>NA</v>
      </c>
      <c r="Q51" s="282" t="str">
        <f>IF(Q$1&lt;=Num_alternatives,IF(INDEX(Inputs_matrix,Q$1,$AA51)=0,"",INDEX('Scaling Functions'!$B$106:$B$112,INDEX(Inputs_matrix,Q$1,$AA51))),"NA")</f>
        <v>NA</v>
      </c>
      <c r="R51" s="282" t="str">
        <f>IF(R$1&lt;=Num_alternatives,IF(INDEX(Inputs_matrix,R$1,$AA51)=0,"",INDEX('Scaling Functions'!$B$106:$B$112,INDEX(Inputs_matrix,R$1,$AA51))),"NA")</f>
        <v>NA</v>
      </c>
      <c r="S51" s="282" t="str">
        <f>IF(S$1&lt;=Num_alternatives,IF(INDEX(Inputs_matrix,S$1,$AA51)=0,"",INDEX('Scaling Functions'!$B$106:$B$112,INDEX(Inputs_matrix,S$1,$AA51))),"NA")</f>
        <v>NA</v>
      </c>
      <c r="T51" s="282" t="str">
        <f>IF(T$1&lt;=Num_alternatives,IF(INDEX(Inputs_matrix,T$1,$AA51)=0,"",INDEX('Scaling Functions'!$B$106:$B$112,INDEX(Inputs_matrix,T$1,$AA51))),"NA")</f>
        <v>NA</v>
      </c>
      <c r="U51" s="283" t="str">
        <f>IF(U$1&lt;=Num_alternatives,IF(INDEX(Inputs_matrix,U$1,$AA51)=0,"",INDEX('Scaling Functions'!$B$106:$B$112,INDEX(Inputs_matrix,U$1,$AA51))),"NA")</f>
        <v>NA</v>
      </c>
      <c r="AA51" s="13">
        <v>31</v>
      </c>
    </row>
    <row r="52" spans="1:21" ht="48" customHeight="1">
      <c r="A52" s="410" t="s">
        <v>48</v>
      </c>
      <c r="B52" s="282"/>
      <c r="C52" s="282"/>
      <c r="D52" s="282"/>
      <c r="E52" s="282"/>
      <c r="F52" s="282"/>
      <c r="G52" s="282"/>
      <c r="H52" s="282"/>
      <c r="I52" s="282"/>
      <c r="J52" s="282"/>
      <c r="K52" s="282"/>
      <c r="L52" s="282"/>
      <c r="M52" s="282"/>
      <c r="N52" s="282"/>
      <c r="O52" s="282"/>
      <c r="P52" s="282"/>
      <c r="Q52" s="282"/>
      <c r="R52" s="282"/>
      <c r="S52" s="282"/>
      <c r="T52" s="282"/>
      <c r="U52" s="283"/>
    </row>
    <row r="53" spans="1:27" ht="36" customHeight="1">
      <c r="A53" s="409" t="s">
        <v>134</v>
      </c>
      <c r="B53" s="282" t="str">
        <f>IF(B$1&lt;=Num_alternatives,IF(INDEX(Inputs_matrix,B$1,$AA53)=0,"N/A",INDEX('Scaling Functions'!$B$95:$B$102,INDEX(Inputs_matrix,B$1,$AA53))),"NA")</f>
        <v>NA</v>
      </c>
      <c r="C53" s="282" t="str">
        <f>IF(C$1&lt;=Num_alternatives,IF(INDEX(Inputs_matrix,C$1,$AA53)=0,"N/A",INDEX('Scaling Functions'!$B$95:$B$102,INDEX(Inputs_matrix,C$1,$AA53))),"NA")</f>
        <v>NA</v>
      </c>
      <c r="D53" s="282" t="str">
        <f>IF(D$1&lt;=Num_alternatives,IF(INDEX(Inputs_matrix,D$1,$AA53)=0,"N/A",INDEX('Scaling Functions'!$B$95:$B$102,INDEX(Inputs_matrix,D$1,$AA53))),"NA")</f>
        <v>NA</v>
      </c>
      <c r="E53" s="282" t="str">
        <f>IF(E$1&lt;=Num_alternatives,IF(INDEX(Inputs_matrix,E$1,$AA53)=0,"N/A",INDEX('Scaling Functions'!$B$95:$B$102,INDEX(Inputs_matrix,E$1,$AA53))),"NA")</f>
        <v>NA</v>
      </c>
      <c r="F53" s="282" t="str">
        <f>IF(F$1&lt;=Num_alternatives,IF(INDEX(Inputs_matrix,F$1,$AA53)=0,"N/A",INDEX('Scaling Functions'!$B$95:$B$102,INDEX(Inputs_matrix,F$1,$AA53))),"NA")</f>
        <v>NA</v>
      </c>
      <c r="G53" s="282" t="str">
        <f>IF(G$1&lt;=Num_alternatives,IF(INDEX(Inputs_matrix,G$1,$AA53)=0,"N/A",INDEX('Scaling Functions'!$B$95:$B$102,INDEX(Inputs_matrix,G$1,$AA53))),"NA")</f>
        <v>NA</v>
      </c>
      <c r="H53" s="282" t="str">
        <f>IF(H$1&lt;=Num_alternatives,IF(INDEX(Inputs_matrix,H$1,$AA53)=0,"N/A",INDEX('Scaling Functions'!$B$95:$B$102,INDEX(Inputs_matrix,H$1,$AA53))),"NA")</f>
        <v>NA</v>
      </c>
      <c r="I53" s="282" t="str">
        <f>IF(I$1&lt;=Num_alternatives,IF(INDEX(Inputs_matrix,I$1,$AA53)=0,"N/A",INDEX('Scaling Functions'!$B$95:$B$102,INDEX(Inputs_matrix,I$1,$AA53))),"NA")</f>
        <v>NA</v>
      </c>
      <c r="J53" s="282" t="str">
        <f>IF(J$1&lt;=Num_alternatives,IF(INDEX(Inputs_matrix,J$1,$AA53)=0,"N/A",INDEX('Scaling Functions'!$B$95:$B$102,INDEX(Inputs_matrix,J$1,$AA53))),"NA")</f>
        <v>NA</v>
      </c>
      <c r="K53" s="282"/>
      <c r="L53" s="282" t="str">
        <f>IF(L$1&lt;=Num_alternatives,IF(INDEX(Inputs_matrix,L$1,$AA53)=0,"N/A",INDEX('Scaling Functions'!$B$95:$B$102,INDEX(Inputs_matrix,L$1,$AA53))),"NA")</f>
        <v>NA</v>
      </c>
      <c r="M53" s="282" t="str">
        <f>IF(M$1&lt;=Num_alternatives,IF(INDEX(Inputs_matrix,M$1,$AA53)=0,"N/A",INDEX('Scaling Functions'!$B$95:$B$102,INDEX(Inputs_matrix,M$1,$AA53))),"NA")</f>
        <v>NA</v>
      </c>
      <c r="N53" s="282" t="str">
        <f>IF(N$1&lt;=Num_alternatives,IF(INDEX(Inputs_matrix,N$1,$AA53)=0,"N/A",INDEX('Scaling Functions'!$B$95:$B$102,INDEX(Inputs_matrix,N$1,$AA53))),"NA")</f>
        <v>NA</v>
      </c>
      <c r="O53" s="282" t="str">
        <f>IF(O$1&lt;=Num_alternatives,IF(INDEX(Inputs_matrix,O$1,$AA53)=0,"N/A",INDEX('Scaling Functions'!$B$95:$B$102,INDEX(Inputs_matrix,O$1,$AA53))),"NA")</f>
        <v>NA</v>
      </c>
      <c r="P53" s="282" t="str">
        <f>IF(P$1&lt;=Num_alternatives,IF(INDEX(Inputs_matrix,P$1,$AA53)=0,"N/A",INDEX('Scaling Functions'!$B$95:$B$102,INDEX(Inputs_matrix,P$1,$AA53))),"NA")</f>
        <v>NA</v>
      </c>
      <c r="Q53" s="282" t="str">
        <f>IF(Q$1&lt;=Num_alternatives,IF(INDEX(Inputs_matrix,Q$1,$AA53)=0,"N/A",INDEX('Scaling Functions'!$B$95:$B$102,INDEX(Inputs_matrix,Q$1,$AA53))),"NA")</f>
        <v>NA</v>
      </c>
      <c r="R53" s="282" t="str">
        <f>IF(R$1&lt;=Num_alternatives,IF(INDEX(Inputs_matrix,R$1,$AA53)=0,"N/A",INDEX('Scaling Functions'!$B$95:$B$102,INDEX(Inputs_matrix,R$1,$AA53))),"NA")</f>
        <v>NA</v>
      </c>
      <c r="S53" s="282" t="str">
        <f>IF(S$1&lt;=Num_alternatives,IF(INDEX(Inputs_matrix,S$1,$AA53)=0,"N/A",INDEX('Scaling Functions'!$B$95:$B$102,INDEX(Inputs_matrix,S$1,$AA53))),"NA")</f>
        <v>NA</v>
      </c>
      <c r="T53" s="282" t="str">
        <f>IF(T$1&lt;=Num_alternatives,IF(INDEX(Inputs_matrix,T$1,$AA53)=0,"N/A",INDEX('Scaling Functions'!$B$95:$B$102,INDEX(Inputs_matrix,T$1,$AA53))),"NA")</f>
        <v>NA</v>
      </c>
      <c r="U53" s="283" t="str">
        <f>IF(U$1&lt;=Num_alternatives,IF(INDEX(Inputs_matrix,U$1,$AA53)=0,"N/A",INDEX('Scaling Functions'!$B$95:$B$102,INDEX(Inputs_matrix,U$1,$AA53))),"NA")</f>
        <v>NA</v>
      </c>
      <c r="AA53" s="13">
        <v>32</v>
      </c>
    </row>
    <row r="54" spans="1:27" ht="25.5" customHeight="1">
      <c r="A54" s="409" t="s">
        <v>135</v>
      </c>
      <c r="B54" s="282" t="str">
        <f>IF(B$1&lt;=Num_alternatives,IF(INDEX(Inputs_matrix,B$1,$AA54)=0,"",INDEX('Scaling Functions'!$B$106:$B$112,INDEX(Inputs_matrix,B$1,$AA54))),"NA")</f>
        <v>NA</v>
      </c>
      <c r="C54" s="282" t="str">
        <f>IF(C$1&lt;=Num_alternatives,IF(INDEX(Inputs_matrix,C$1,$AA54)=0,"",INDEX('Scaling Functions'!$B$106:$B$112,INDEX(Inputs_matrix,C$1,$AA54))),"NA")</f>
        <v>NA</v>
      </c>
      <c r="D54" s="282" t="str">
        <f>IF(D$1&lt;=Num_alternatives,IF(INDEX(Inputs_matrix,D$1,$AA54)=0,"",INDEX('Scaling Functions'!$B$106:$B$112,INDEX(Inputs_matrix,D$1,$AA54))),"NA")</f>
        <v>NA</v>
      </c>
      <c r="E54" s="282" t="str">
        <f>IF(E$1&lt;=Num_alternatives,IF(INDEX(Inputs_matrix,E$1,$AA54)=0,"",INDEX('Scaling Functions'!$B$106:$B$112,INDEX(Inputs_matrix,E$1,$AA54))),"NA")</f>
        <v>NA</v>
      </c>
      <c r="F54" s="282" t="str">
        <f>IF(F$1&lt;=Num_alternatives,IF(INDEX(Inputs_matrix,F$1,$AA54)=0,"",INDEX('Scaling Functions'!$B$106:$B$112,INDEX(Inputs_matrix,F$1,$AA54))),"NA")</f>
        <v>NA</v>
      </c>
      <c r="G54" s="282" t="str">
        <f>IF(G$1&lt;=Num_alternatives,IF(INDEX(Inputs_matrix,G$1,$AA54)=0,"",INDEX('Scaling Functions'!$B$106:$B$112,INDEX(Inputs_matrix,G$1,$AA54))),"NA")</f>
        <v>NA</v>
      </c>
      <c r="H54" s="282" t="str">
        <f>IF(H$1&lt;=Num_alternatives,IF(INDEX(Inputs_matrix,H$1,$AA54)=0,"",INDEX('Scaling Functions'!$B$106:$B$112,INDEX(Inputs_matrix,H$1,$AA54))),"NA")</f>
        <v>NA</v>
      </c>
      <c r="I54" s="282" t="str">
        <f>IF(I$1&lt;=Num_alternatives,IF(INDEX(Inputs_matrix,I$1,$AA54)=0,"",INDEX('Scaling Functions'!$B$106:$B$112,INDEX(Inputs_matrix,I$1,$AA54))),"NA")</f>
        <v>NA</v>
      </c>
      <c r="J54" s="282" t="str">
        <f>IF(J$1&lt;=Num_alternatives,IF(INDEX(Inputs_matrix,J$1,$AA54)=0,"",INDEX('Scaling Functions'!$B$106:$B$112,INDEX(Inputs_matrix,J$1,$AA54))),"NA")</f>
        <v>NA</v>
      </c>
      <c r="K54" s="282"/>
      <c r="L54" s="282" t="str">
        <f>IF(L$1&lt;=Num_alternatives,IF(INDEX(Inputs_matrix,L$1,$AA54)=0,"",INDEX('Scaling Functions'!$B$106:$B$112,INDEX(Inputs_matrix,L$1,$AA54))),"NA")</f>
        <v>NA</v>
      </c>
      <c r="M54" s="282" t="str">
        <f>IF(M$1&lt;=Num_alternatives,IF(INDEX(Inputs_matrix,M$1,$AA54)=0,"",INDEX('Scaling Functions'!$B$106:$B$112,INDEX(Inputs_matrix,M$1,$AA54))),"NA")</f>
        <v>NA</v>
      </c>
      <c r="N54" s="282" t="str">
        <f>IF(N$1&lt;=Num_alternatives,IF(INDEX(Inputs_matrix,N$1,$AA54)=0,"",INDEX('Scaling Functions'!$B$106:$B$112,INDEX(Inputs_matrix,N$1,$AA54))),"NA")</f>
        <v>NA</v>
      </c>
      <c r="O54" s="282" t="str">
        <f>IF(O$1&lt;=Num_alternatives,IF(INDEX(Inputs_matrix,O$1,$AA54)=0,"",INDEX('Scaling Functions'!$B$106:$B$112,INDEX(Inputs_matrix,O$1,$AA54))),"NA")</f>
        <v>NA</v>
      </c>
      <c r="P54" s="282" t="str">
        <f>IF(P$1&lt;=Num_alternatives,IF(INDEX(Inputs_matrix,P$1,$AA54)=0,"",INDEX('Scaling Functions'!$B$106:$B$112,INDEX(Inputs_matrix,P$1,$AA54))),"NA")</f>
        <v>NA</v>
      </c>
      <c r="Q54" s="282" t="str">
        <f>IF(Q$1&lt;=Num_alternatives,IF(INDEX(Inputs_matrix,Q$1,$AA54)=0,"",INDEX('Scaling Functions'!$B$106:$B$112,INDEX(Inputs_matrix,Q$1,$AA54))),"NA")</f>
        <v>NA</v>
      </c>
      <c r="R54" s="282" t="str">
        <f>IF(R$1&lt;=Num_alternatives,IF(INDEX(Inputs_matrix,R$1,$AA54)=0,"",INDEX('Scaling Functions'!$B$106:$B$112,INDEX(Inputs_matrix,R$1,$AA54))),"NA")</f>
        <v>NA</v>
      </c>
      <c r="S54" s="282" t="str">
        <f>IF(S$1&lt;=Num_alternatives,IF(INDEX(Inputs_matrix,S$1,$AA54)=0,"",INDEX('Scaling Functions'!$B$106:$B$112,INDEX(Inputs_matrix,S$1,$AA54))),"NA")</f>
        <v>NA</v>
      </c>
      <c r="T54" s="282" t="str">
        <f>IF(T$1&lt;=Num_alternatives,IF(INDEX(Inputs_matrix,T$1,$AA54)=0,"",INDEX('Scaling Functions'!$B$106:$B$112,INDEX(Inputs_matrix,T$1,$AA54))),"NA")</f>
        <v>NA</v>
      </c>
      <c r="U54" s="283" t="str">
        <f>IF(U$1&lt;=Num_alternatives,IF(INDEX(Inputs_matrix,U$1,$AA54)=0,"",INDEX('Scaling Functions'!$B$106:$B$112,INDEX(Inputs_matrix,U$1,$AA54))),"NA")</f>
        <v>NA</v>
      </c>
      <c r="AA54" s="13">
        <v>33</v>
      </c>
    </row>
    <row r="55" spans="1:21" ht="36" customHeight="1">
      <c r="A55" s="410" t="s">
        <v>49</v>
      </c>
      <c r="B55" s="282"/>
      <c r="C55" s="282"/>
      <c r="D55" s="282"/>
      <c r="E55" s="282"/>
      <c r="F55" s="282"/>
      <c r="G55" s="282"/>
      <c r="H55" s="282"/>
      <c r="I55" s="282"/>
      <c r="J55" s="282"/>
      <c r="K55" s="282"/>
      <c r="L55" s="282"/>
      <c r="M55" s="282"/>
      <c r="N55" s="282"/>
      <c r="O55" s="282"/>
      <c r="P55" s="282"/>
      <c r="Q55" s="282"/>
      <c r="R55" s="282"/>
      <c r="S55" s="282"/>
      <c r="T55" s="282"/>
      <c r="U55" s="283"/>
    </row>
    <row r="56" spans="1:27" ht="36" customHeight="1">
      <c r="A56" s="409" t="s">
        <v>134</v>
      </c>
      <c r="B56" s="282" t="str">
        <f>IF(B$1&lt;=Num_alternatives,IF(INDEX(Inputs_matrix,B$1,$AA56)=0,"N/A",INDEX('Scaling Functions'!$B$95:$B$102,INDEX(Inputs_matrix,B$1,$AA56))),"NA")</f>
        <v>NA</v>
      </c>
      <c r="C56" s="282" t="str">
        <f>IF(C$1&lt;=Num_alternatives,IF(INDEX(Inputs_matrix,C$1,$AA56)=0,"N/A",INDEX('Scaling Functions'!$B$95:$B$102,INDEX(Inputs_matrix,C$1,$AA56))),"NA")</f>
        <v>NA</v>
      </c>
      <c r="D56" s="282" t="str">
        <f>IF(D$1&lt;=Num_alternatives,IF(INDEX(Inputs_matrix,D$1,$AA56)=0,"N/A",INDEX('Scaling Functions'!$B$95:$B$102,INDEX(Inputs_matrix,D$1,$AA56))),"NA")</f>
        <v>NA</v>
      </c>
      <c r="E56" s="282" t="str">
        <f>IF(E$1&lt;=Num_alternatives,IF(INDEX(Inputs_matrix,E$1,$AA56)=0,"N/A",INDEX('Scaling Functions'!$B$95:$B$102,INDEX(Inputs_matrix,E$1,$AA56))),"NA")</f>
        <v>NA</v>
      </c>
      <c r="F56" s="282" t="str">
        <f>IF(F$1&lt;=Num_alternatives,IF(INDEX(Inputs_matrix,F$1,$AA56)=0,"N/A",INDEX('Scaling Functions'!$B$95:$B$102,INDEX(Inputs_matrix,F$1,$AA56))),"NA")</f>
        <v>NA</v>
      </c>
      <c r="G56" s="282" t="str">
        <f>IF(G$1&lt;=Num_alternatives,IF(INDEX(Inputs_matrix,G$1,$AA56)=0,"N/A",INDEX('Scaling Functions'!$B$95:$B$102,INDEX(Inputs_matrix,G$1,$AA56))),"NA")</f>
        <v>NA</v>
      </c>
      <c r="H56" s="282" t="str">
        <f>IF(H$1&lt;=Num_alternatives,IF(INDEX(Inputs_matrix,H$1,$AA56)=0,"N/A",INDEX('Scaling Functions'!$B$95:$B$102,INDEX(Inputs_matrix,H$1,$AA56))),"NA")</f>
        <v>NA</v>
      </c>
      <c r="I56" s="282" t="str">
        <f>IF(I$1&lt;=Num_alternatives,IF(INDEX(Inputs_matrix,I$1,$AA56)=0,"N/A",INDEX('Scaling Functions'!$B$95:$B$102,INDEX(Inputs_matrix,I$1,$AA56))),"NA")</f>
        <v>NA</v>
      </c>
      <c r="J56" s="282" t="str">
        <f>IF(J$1&lt;=Num_alternatives,IF(INDEX(Inputs_matrix,J$1,$AA56)=0,"N/A",INDEX('Scaling Functions'!$B$95:$B$102,INDEX(Inputs_matrix,J$1,$AA56))),"NA")</f>
        <v>NA</v>
      </c>
      <c r="K56" s="282"/>
      <c r="L56" s="282" t="str">
        <f>IF(L$1&lt;=Num_alternatives,IF(INDEX(Inputs_matrix,L$1,$AA56)=0,"N/A",INDEX('Scaling Functions'!$B$95:$B$102,INDEX(Inputs_matrix,L$1,$AA56))),"NA")</f>
        <v>NA</v>
      </c>
      <c r="M56" s="282" t="str">
        <f>IF(M$1&lt;=Num_alternatives,IF(INDEX(Inputs_matrix,M$1,$AA56)=0,"N/A",INDEX('Scaling Functions'!$B$95:$B$102,INDEX(Inputs_matrix,M$1,$AA56))),"NA")</f>
        <v>NA</v>
      </c>
      <c r="N56" s="282" t="str">
        <f>IF(N$1&lt;=Num_alternatives,IF(INDEX(Inputs_matrix,N$1,$AA56)=0,"N/A",INDEX('Scaling Functions'!$B$95:$B$102,INDEX(Inputs_matrix,N$1,$AA56))),"NA")</f>
        <v>NA</v>
      </c>
      <c r="O56" s="282" t="str">
        <f>IF(O$1&lt;=Num_alternatives,IF(INDEX(Inputs_matrix,O$1,$AA56)=0,"N/A",INDEX('Scaling Functions'!$B$95:$B$102,INDEX(Inputs_matrix,O$1,$AA56))),"NA")</f>
        <v>NA</v>
      </c>
      <c r="P56" s="282" t="str">
        <f>IF(P$1&lt;=Num_alternatives,IF(INDEX(Inputs_matrix,P$1,$AA56)=0,"N/A",INDEX('Scaling Functions'!$B$95:$B$102,INDEX(Inputs_matrix,P$1,$AA56))),"NA")</f>
        <v>NA</v>
      </c>
      <c r="Q56" s="282" t="str">
        <f>IF(Q$1&lt;=Num_alternatives,IF(INDEX(Inputs_matrix,Q$1,$AA56)=0,"N/A",INDEX('Scaling Functions'!$B$95:$B$102,INDEX(Inputs_matrix,Q$1,$AA56))),"NA")</f>
        <v>NA</v>
      </c>
      <c r="R56" s="282" t="str">
        <f>IF(R$1&lt;=Num_alternatives,IF(INDEX(Inputs_matrix,R$1,$AA56)=0,"N/A",INDEX('Scaling Functions'!$B$95:$B$102,INDEX(Inputs_matrix,R$1,$AA56))),"NA")</f>
        <v>NA</v>
      </c>
      <c r="S56" s="282" t="str">
        <f>IF(S$1&lt;=Num_alternatives,IF(INDEX(Inputs_matrix,S$1,$AA56)=0,"N/A",INDEX('Scaling Functions'!$B$95:$B$102,INDEX(Inputs_matrix,S$1,$AA56))),"NA")</f>
        <v>NA</v>
      </c>
      <c r="T56" s="282" t="str">
        <f>IF(T$1&lt;=Num_alternatives,IF(INDEX(Inputs_matrix,T$1,$AA56)=0,"N/A",INDEX('Scaling Functions'!$B$95:$B$102,INDEX(Inputs_matrix,T$1,$AA56))),"NA")</f>
        <v>NA</v>
      </c>
      <c r="U56" s="283" t="str">
        <f>IF(U$1&lt;=Num_alternatives,IF(INDEX(Inputs_matrix,U$1,$AA56)=0,"N/A",INDEX('Scaling Functions'!$B$95:$B$102,INDEX(Inputs_matrix,U$1,$AA56))),"NA")</f>
        <v>NA</v>
      </c>
      <c r="AA56" s="13">
        <v>34</v>
      </c>
    </row>
    <row r="57" spans="1:27" ht="25.5" customHeight="1">
      <c r="A57" s="409" t="s">
        <v>135</v>
      </c>
      <c r="B57" s="282" t="str">
        <f>IF(B$1&lt;=Num_alternatives,IF(INDEX(Inputs_matrix,B$1,$AA57)=0,"",INDEX('Scaling Functions'!$B$106:$B$112,INDEX(Inputs_matrix,B$1,$AA57))),"NA")</f>
        <v>NA</v>
      </c>
      <c r="C57" s="282" t="str">
        <f>IF(C$1&lt;=Num_alternatives,IF(INDEX(Inputs_matrix,C$1,$AA57)=0,"",INDEX('Scaling Functions'!$B$106:$B$112,INDEX(Inputs_matrix,C$1,$AA57))),"NA")</f>
        <v>NA</v>
      </c>
      <c r="D57" s="282" t="str">
        <f>IF(D$1&lt;=Num_alternatives,IF(INDEX(Inputs_matrix,D$1,$AA57)=0,"",INDEX('Scaling Functions'!$B$106:$B$112,INDEX(Inputs_matrix,D$1,$AA57))),"NA")</f>
        <v>NA</v>
      </c>
      <c r="E57" s="282" t="str">
        <f>IF(E$1&lt;=Num_alternatives,IF(INDEX(Inputs_matrix,E$1,$AA57)=0,"",INDEX('Scaling Functions'!$B$106:$B$112,INDEX(Inputs_matrix,E$1,$AA57))),"NA")</f>
        <v>NA</v>
      </c>
      <c r="F57" s="282" t="str">
        <f>IF(F$1&lt;=Num_alternatives,IF(INDEX(Inputs_matrix,F$1,$AA57)=0,"",INDEX('Scaling Functions'!$B$106:$B$112,INDEX(Inputs_matrix,F$1,$AA57))),"NA")</f>
        <v>NA</v>
      </c>
      <c r="G57" s="282" t="str">
        <f>IF(G$1&lt;=Num_alternatives,IF(INDEX(Inputs_matrix,G$1,$AA57)=0,"",INDEX('Scaling Functions'!$B$106:$B$112,INDEX(Inputs_matrix,G$1,$AA57))),"NA")</f>
        <v>NA</v>
      </c>
      <c r="H57" s="282" t="str">
        <f>IF(H$1&lt;=Num_alternatives,IF(INDEX(Inputs_matrix,H$1,$AA57)=0,"",INDEX('Scaling Functions'!$B$106:$B$112,INDEX(Inputs_matrix,H$1,$AA57))),"NA")</f>
        <v>NA</v>
      </c>
      <c r="I57" s="282" t="str">
        <f>IF(I$1&lt;=Num_alternatives,IF(INDEX(Inputs_matrix,I$1,$AA57)=0,"",INDEX('Scaling Functions'!$B$106:$B$112,INDEX(Inputs_matrix,I$1,$AA57))),"NA")</f>
        <v>NA</v>
      </c>
      <c r="J57" s="282" t="str">
        <f>IF(J$1&lt;=Num_alternatives,IF(INDEX(Inputs_matrix,J$1,$AA57)=0,"",INDEX('Scaling Functions'!$B$106:$B$112,INDEX(Inputs_matrix,J$1,$AA57))),"NA")</f>
        <v>NA</v>
      </c>
      <c r="K57" s="282"/>
      <c r="L57" s="282" t="str">
        <f>IF(L$1&lt;=Num_alternatives,IF(INDEX(Inputs_matrix,L$1,$AA57)=0,"",INDEX('Scaling Functions'!$B$106:$B$112,INDEX(Inputs_matrix,L$1,$AA57))),"NA")</f>
        <v>NA</v>
      </c>
      <c r="M57" s="282" t="str">
        <f>IF(M$1&lt;=Num_alternatives,IF(INDEX(Inputs_matrix,M$1,$AA57)=0,"",INDEX('Scaling Functions'!$B$106:$B$112,INDEX(Inputs_matrix,M$1,$AA57))),"NA")</f>
        <v>NA</v>
      </c>
      <c r="N57" s="282" t="str">
        <f>IF(N$1&lt;=Num_alternatives,IF(INDEX(Inputs_matrix,N$1,$AA57)=0,"",INDEX('Scaling Functions'!$B$106:$B$112,INDEX(Inputs_matrix,N$1,$AA57))),"NA")</f>
        <v>NA</v>
      </c>
      <c r="O57" s="282" t="str">
        <f>IF(O$1&lt;=Num_alternatives,IF(INDEX(Inputs_matrix,O$1,$AA57)=0,"",INDEX('Scaling Functions'!$B$106:$B$112,INDEX(Inputs_matrix,O$1,$AA57))),"NA")</f>
        <v>NA</v>
      </c>
      <c r="P57" s="282" t="str">
        <f>IF(P$1&lt;=Num_alternatives,IF(INDEX(Inputs_matrix,P$1,$AA57)=0,"",INDEX('Scaling Functions'!$B$106:$B$112,INDEX(Inputs_matrix,P$1,$AA57))),"NA")</f>
        <v>NA</v>
      </c>
      <c r="Q57" s="282" t="str">
        <f>IF(Q$1&lt;=Num_alternatives,IF(INDEX(Inputs_matrix,Q$1,$AA57)=0,"",INDEX('Scaling Functions'!$B$106:$B$112,INDEX(Inputs_matrix,Q$1,$AA57))),"NA")</f>
        <v>NA</v>
      </c>
      <c r="R57" s="282" t="str">
        <f>IF(R$1&lt;=Num_alternatives,IF(INDEX(Inputs_matrix,R$1,$AA57)=0,"",INDEX('Scaling Functions'!$B$106:$B$112,INDEX(Inputs_matrix,R$1,$AA57))),"NA")</f>
        <v>NA</v>
      </c>
      <c r="S57" s="282" t="str">
        <f>IF(S$1&lt;=Num_alternatives,IF(INDEX(Inputs_matrix,S$1,$AA57)=0,"",INDEX('Scaling Functions'!$B$106:$B$112,INDEX(Inputs_matrix,S$1,$AA57))),"NA")</f>
        <v>NA</v>
      </c>
      <c r="T57" s="282" t="str">
        <f>IF(T$1&lt;=Num_alternatives,IF(INDEX(Inputs_matrix,T$1,$AA57)=0,"",INDEX('Scaling Functions'!$B$106:$B$112,INDEX(Inputs_matrix,T$1,$AA57))),"NA")</f>
        <v>NA</v>
      </c>
      <c r="U57" s="283" t="str">
        <f>IF(U$1&lt;=Num_alternatives,IF(INDEX(Inputs_matrix,U$1,$AA57)=0,"",INDEX('Scaling Functions'!$B$106:$B$112,INDEX(Inputs_matrix,U$1,$AA57))),"NA")</f>
        <v>NA</v>
      </c>
      <c r="AA57" s="13">
        <v>35</v>
      </c>
    </row>
    <row r="58" spans="1:21" ht="36" customHeight="1">
      <c r="A58" s="417" t="s">
        <v>50</v>
      </c>
      <c r="B58" s="282"/>
      <c r="C58" s="282"/>
      <c r="D58" s="282"/>
      <c r="E58" s="282"/>
      <c r="F58" s="282"/>
      <c r="G58" s="282"/>
      <c r="H58" s="282"/>
      <c r="I58" s="282"/>
      <c r="J58" s="282"/>
      <c r="K58" s="282"/>
      <c r="L58" s="282"/>
      <c r="M58" s="282"/>
      <c r="N58" s="282"/>
      <c r="O58" s="282"/>
      <c r="P58" s="282"/>
      <c r="Q58" s="282"/>
      <c r="R58" s="282"/>
      <c r="S58" s="282"/>
      <c r="T58" s="282"/>
      <c r="U58" s="283"/>
    </row>
    <row r="59" spans="1:27" ht="36" customHeight="1">
      <c r="A59" s="409" t="s">
        <v>134</v>
      </c>
      <c r="B59" s="282" t="str">
        <f>IF(B$1&lt;=Num_alternatives,IF(INDEX(Inputs_matrix,B$1,$AA59)=0,"N/A",INDEX('Scaling Functions'!$B$95:$B$102,INDEX(Inputs_matrix,B$1,$AA59))),"NA")</f>
        <v>NA</v>
      </c>
      <c r="C59" s="282" t="str">
        <f>IF(C$1&lt;=Num_alternatives,IF(INDEX(Inputs_matrix,C$1,$AA59)=0,"N/A",INDEX('Scaling Functions'!$B$95:$B$102,INDEX(Inputs_matrix,C$1,$AA59))),"NA")</f>
        <v>NA</v>
      </c>
      <c r="D59" s="282" t="str">
        <f>IF(D$1&lt;=Num_alternatives,IF(INDEX(Inputs_matrix,D$1,$AA59)=0,"N/A",INDEX('Scaling Functions'!$B$95:$B$102,INDEX(Inputs_matrix,D$1,$AA59))),"NA")</f>
        <v>NA</v>
      </c>
      <c r="E59" s="282" t="str">
        <f>IF(E$1&lt;=Num_alternatives,IF(INDEX(Inputs_matrix,E$1,$AA59)=0,"N/A",INDEX('Scaling Functions'!$B$95:$B$102,INDEX(Inputs_matrix,E$1,$AA59))),"NA")</f>
        <v>NA</v>
      </c>
      <c r="F59" s="282" t="str">
        <f>IF(F$1&lt;=Num_alternatives,IF(INDEX(Inputs_matrix,F$1,$AA59)=0,"N/A",INDEX('Scaling Functions'!$B$95:$B$102,INDEX(Inputs_matrix,F$1,$AA59))),"NA")</f>
        <v>NA</v>
      </c>
      <c r="G59" s="282" t="str">
        <f>IF(G$1&lt;=Num_alternatives,IF(INDEX(Inputs_matrix,G$1,$AA59)=0,"N/A",INDEX('Scaling Functions'!$B$95:$B$102,INDEX(Inputs_matrix,G$1,$AA59))),"NA")</f>
        <v>NA</v>
      </c>
      <c r="H59" s="282" t="str">
        <f>IF(H$1&lt;=Num_alternatives,IF(INDEX(Inputs_matrix,H$1,$AA59)=0,"N/A",INDEX('Scaling Functions'!$B$95:$B$102,INDEX(Inputs_matrix,H$1,$AA59))),"NA")</f>
        <v>NA</v>
      </c>
      <c r="I59" s="282" t="str">
        <f>IF(I$1&lt;=Num_alternatives,IF(INDEX(Inputs_matrix,I$1,$AA59)=0,"N/A",INDEX('Scaling Functions'!$B$95:$B$102,INDEX(Inputs_matrix,I$1,$AA59))),"NA")</f>
        <v>NA</v>
      </c>
      <c r="J59" s="282" t="str">
        <f>IF(J$1&lt;=Num_alternatives,IF(INDEX(Inputs_matrix,J$1,$AA59)=0,"N/A",INDEX('Scaling Functions'!$B$95:$B$102,INDEX(Inputs_matrix,J$1,$AA59))),"NA")</f>
        <v>NA</v>
      </c>
      <c r="K59" s="282"/>
      <c r="L59" s="282" t="str">
        <f>IF(L$1&lt;=Num_alternatives,IF(INDEX(Inputs_matrix,L$1,$AA59)=0,"N/A",INDEX('Scaling Functions'!$B$95:$B$102,INDEX(Inputs_matrix,L$1,$AA59))),"NA")</f>
        <v>NA</v>
      </c>
      <c r="M59" s="282" t="str">
        <f>IF(M$1&lt;=Num_alternatives,IF(INDEX(Inputs_matrix,M$1,$AA59)=0,"N/A",INDEX('Scaling Functions'!$B$95:$B$102,INDEX(Inputs_matrix,M$1,$AA59))),"NA")</f>
        <v>NA</v>
      </c>
      <c r="N59" s="282" t="str">
        <f>IF(N$1&lt;=Num_alternatives,IF(INDEX(Inputs_matrix,N$1,$AA59)=0,"N/A",INDEX('Scaling Functions'!$B$95:$B$102,INDEX(Inputs_matrix,N$1,$AA59))),"NA")</f>
        <v>NA</v>
      </c>
      <c r="O59" s="282" t="str">
        <f>IF(O$1&lt;=Num_alternatives,IF(INDEX(Inputs_matrix,O$1,$AA59)=0,"N/A",INDEX('Scaling Functions'!$B$95:$B$102,INDEX(Inputs_matrix,O$1,$AA59))),"NA")</f>
        <v>NA</v>
      </c>
      <c r="P59" s="282" t="str">
        <f>IF(P$1&lt;=Num_alternatives,IF(INDEX(Inputs_matrix,P$1,$AA59)=0,"N/A",INDEX('Scaling Functions'!$B$95:$B$102,INDEX(Inputs_matrix,P$1,$AA59))),"NA")</f>
        <v>NA</v>
      </c>
      <c r="Q59" s="282" t="str">
        <f>IF(Q$1&lt;=Num_alternatives,IF(INDEX(Inputs_matrix,Q$1,$AA59)=0,"N/A",INDEX('Scaling Functions'!$B$95:$B$102,INDEX(Inputs_matrix,Q$1,$AA59))),"NA")</f>
        <v>NA</v>
      </c>
      <c r="R59" s="282" t="str">
        <f>IF(R$1&lt;=Num_alternatives,IF(INDEX(Inputs_matrix,R$1,$AA59)=0,"N/A",INDEX('Scaling Functions'!$B$95:$B$102,INDEX(Inputs_matrix,R$1,$AA59))),"NA")</f>
        <v>NA</v>
      </c>
      <c r="S59" s="282" t="str">
        <f>IF(S$1&lt;=Num_alternatives,IF(INDEX(Inputs_matrix,S$1,$AA59)=0,"N/A",INDEX('Scaling Functions'!$B$95:$B$102,INDEX(Inputs_matrix,S$1,$AA59))),"NA")</f>
        <v>NA</v>
      </c>
      <c r="T59" s="282" t="str">
        <f>IF(T$1&lt;=Num_alternatives,IF(INDEX(Inputs_matrix,T$1,$AA59)=0,"N/A",INDEX('Scaling Functions'!$B$95:$B$102,INDEX(Inputs_matrix,T$1,$AA59))),"NA")</f>
        <v>NA</v>
      </c>
      <c r="U59" s="283" t="str">
        <f>IF(U$1&lt;=Num_alternatives,IF(INDEX(Inputs_matrix,U$1,$AA59)=0,"N/A",INDEX('Scaling Functions'!$B$95:$B$102,INDEX(Inputs_matrix,U$1,$AA59))),"NA")</f>
        <v>NA</v>
      </c>
      <c r="AA59" s="13">
        <v>36</v>
      </c>
    </row>
    <row r="60" spans="1:27" ht="25.5" customHeight="1">
      <c r="A60" s="409" t="s">
        <v>135</v>
      </c>
      <c r="B60" s="282" t="str">
        <f>IF(B$1&lt;=Num_alternatives,IF(INDEX(Inputs_matrix,B$1,$AA60)=0,"",INDEX('Scaling Functions'!$B$106:$B$112,INDEX(Inputs_matrix,B$1,$AA60))),"NA")</f>
        <v>NA</v>
      </c>
      <c r="C60" s="282" t="str">
        <f>IF(C$1&lt;=Num_alternatives,IF(INDEX(Inputs_matrix,C$1,$AA60)=0,"",INDEX('Scaling Functions'!$B$106:$B$112,INDEX(Inputs_matrix,C$1,$AA60))),"NA")</f>
        <v>NA</v>
      </c>
      <c r="D60" s="282" t="str">
        <f>IF(D$1&lt;=Num_alternatives,IF(INDEX(Inputs_matrix,D$1,$AA60)=0,"",INDEX('Scaling Functions'!$B$106:$B$112,INDEX(Inputs_matrix,D$1,$AA60))),"NA")</f>
        <v>NA</v>
      </c>
      <c r="E60" s="282" t="str">
        <f>IF(E$1&lt;=Num_alternatives,IF(INDEX(Inputs_matrix,E$1,$AA60)=0,"",INDEX('Scaling Functions'!$B$106:$B$112,INDEX(Inputs_matrix,E$1,$AA60))),"NA")</f>
        <v>NA</v>
      </c>
      <c r="F60" s="282" t="str">
        <f>IF(F$1&lt;=Num_alternatives,IF(INDEX(Inputs_matrix,F$1,$AA60)=0,"",INDEX('Scaling Functions'!$B$106:$B$112,INDEX(Inputs_matrix,F$1,$AA60))),"NA")</f>
        <v>NA</v>
      </c>
      <c r="G60" s="282" t="str">
        <f>IF(G$1&lt;=Num_alternatives,IF(INDEX(Inputs_matrix,G$1,$AA60)=0,"",INDEX('Scaling Functions'!$B$106:$B$112,INDEX(Inputs_matrix,G$1,$AA60))),"NA")</f>
        <v>NA</v>
      </c>
      <c r="H60" s="282" t="str">
        <f>IF(H$1&lt;=Num_alternatives,IF(INDEX(Inputs_matrix,H$1,$AA60)=0,"",INDEX('Scaling Functions'!$B$106:$B$112,INDEX(Inputs_matrix,H$1,$AA60))),"NA")</f>
        <v>NA</v>
      </c>
      <c r="I60" s="282" t="str">
        <f>IF(I$1&lt;=Num_alternatives,IF(INDEX(Inputs_matrix,I$1,$AA60)=0,"",INDEX('Scaling Functions'!$B$106:$B$112,INDEX(Inputs_matrix,I$1,$AA60))),"NA")</f>
        <v>NA</v>
      </c>
      <c r="J60" s="282" t="str">
        <f>IF(J$1&lt;=Num_alternatives,IF(INDEX(Inputs_matrix,J$1,$AA60)=0,"",INDEX('Scaling Functions'!$B$106:$B$112,INDEX(Inputs_matrix,J$1,$AA60))),"NA")</f>
        <v>NA</v>
      </c>
      <c r="K60" s="282"/>
      <c r="L60" s="282" t="str">
        <f>IF(L$1&lt;=Num_alternatives,IF(INDEX(Inputs_matrix,L$1,$AA60)=0,"",INDEX('Scaling Functions'!$B$106:$B$112,INDEX(Inputs_matrix,L$1,$AA60))),"NA")</f>
        <v>NA</v>
      </c>
      <c r="M60" s="282" t="str">
        <f>IF(M$1&lt;=Num_alternatives,IF(INDEX(Inputs_matrix,M$1,$AA60)=0,"",INDEX('Scaling Functions'!$B$106:$B$112,INDEX(Inputs_matrix,M$1,$AA60))),"NA")</f>
        <v>NA</v>
      </c>
      <c r="N60" s="282" t="str">
        <f>IF(N$1&lt;=Num_alternatives,IF(INDEX(Inputs_matrix,N$1,$AA60)=0,"",INDEX('Scaling Functions'!$B$106:$B$112,INDEX(Inputs_matrix,N$1,$AA60))),"NA")</f>
        <v>NA</v>
      </c>
      <c r="O60" s="282" t="str">
        <f>IF(O$1&lt;=Num_alternatives,IF(INDEX(Inputs_matrix,O$1,$AA60)=0,"",INDEX('Scaling Functions'!$B$106:$B$112,INDEX(Inputs_matrix,O$1,$AA60))),"NA")</f>
        <v>NA</v>
      </c>
      <c r="P60" s="282" t="str">
        <f>IF(P$1&lt;=Num_alternatives,IF(INDEX(Inputs_matrix,P$1,$AA60)=0,"",INDEX('Scaling Functions'!$B$106:$B$112,INDEX(Inputs_matrix,P$1,$AA60))),"NA")</f>
        <v>NA</v>
      </c>
      <c r="Q60" s="282" t="str">
        <f>IF(Q$1&lt;=Num_alternatives,IF(INDEX(Inputs_matrix,Q$1,$AA60)=0,"",INDEX('Scaling Functions'!$B$106:$B$112,INDEX(Inputs_matrix,Q$1,$AA60))),"NA")</f>
        <v>NA</v>
      </c>
      <c r="R60" s="282" t="str">
        <f>IF(R$1&lt;=Num_alternatives,IF(INDEX(Inputs_matrix,R$1,$AA60)=0,"",INDEX('Scaling Functions'!$B$106:$B$112,INDEX(Inputs_matrix,R$1,$AA60))),"NA")</f>
        <v>NA</v>
      </c>
      <c r="S60" s="282" t="str">
        <f>IF(S$1&lt;=Num_alternatives,IF(INDEX(Inputs_matrix,S$1,$AA60)=0,"",INDEX('Scaling Functions'!$B$106:$B$112,INDEX(Inputs_matrix,S$1,$AA60))),"NA")</f>
        <v>NA</v>
      </c>
      <c r="T60" s="282" t="str">
        <f>IF(T$1&lt;=Num_alternatives,IF(INDEX(Inputs_matrix,T$1,$AA60)=0,"",INDEX('Scaling Functions'!$B$106:$B$112,INDEX(Inputs_matrix,T$1,$AA60))),"NA")</f>
        <v>NA</v>
      </c>
      <c r="U60" s="283" t="str">
        <f>IF(U$1&lt;=Num_alternatives,IF(INDEX(Inputs_matrix,U$1,$AA60)=0,"",INDEX('Scaling Functions'!$B$106:$B$112,INDEX(Inputs_matrix,U$1,$AA60))),"NA")</f>
        <v>NA</v>
      </c>
      <c r="AA60" s="13">
        <v>37</v>
      </c>
    </row>
    <row r="61" spans="1:21" ht="48" customHeight="1">
      <c r="A61" s="410" t="s">
        <v>51</v>
      </c>
      <c r="B61" s="282"/>
      <c r="C61" s="282"/>
      <c r="D61" s="282"/>
      <c r="E61" s="282"/>
      <c r="F61" s="282"/>
      <c r="G61" s="282"/>
      <c r="H61" s="282"/>
      <c r="I61" s="282"/>
      <c r="J61" s="282"/>
      <c r="K61" s="282"/>
      <c r="L61" s="282"/>
      <c r="M61" s="282"/>
      <c r="N61" s="282"/>
      <c r="O61" s="282"/>
      <c r="P61" s="282"/>
      <c r="Q61" s="282"/>
      <c r="R61" s="282"/>
      <c r="S61" s="282"/>
      <c r="T61" s="282"/>
      <c r="U61" s="283"/>
    </row>
    <row r="62" spans="1:27" ht="36" customHeight="1">
      <c r="A62" s="409" t="s">
        <v>134</v>
      </c>
      <c r="B62" s="282" t="str">
        <f>IF(B$1&lt;=Num_alternatives,IF(INDEX(Inputs_matrix,B$1,$AA62)=0,"N/A",INDEX('Scaling Functions'!$B$95:$B$102,INDEX(Inputs_matrix,B$1,$AA62))),"NA")</f>
        <v>NA</v>
      </c>
      <c r="C62" s="282" t="str">
        <f>IF(C$1&lt;=Num_alternatives,IF(INDEX(Inputs_matrix,C$1,$AA62)=0,"N/A",INDEX('Scaling Functions'!$B$95:$B$102,INDEX(Inputs_matrix,C$1,$AA62))),"NA")</f>
        <v>NA</v>
      </c>
      <c r="D62" s="282" t="str">
        <f>IF(D$1&lt;=Num_alternatives,IF(INDEX(Inputs_matrix,D$1,$AA62)=0,"N/A",INDEX('Scaling Functions'!$B$95:$B$102,INDEX(Inputs_matrix,D$1,$AA62))),"NA")</f>
        <v>NA</v>
      </c>
      <c r="E62" s="282" t="str">
        <f>IF(E$1&lt;=Num_alternatives,IF(INDEX(Inputs_matrix,E$1,$AA62)=0,"N/A",INDEX('Scaling Functions'!$B$95:$B$102,INDEX(Inputs_matrix,E$1,$AA62))),"NA")</f>
        <v>NA</v>
      </c>
      <c r="F62" s="282" t="str">
        <f>IF(F$1&lt;=Num_alternatives,IF(INDEX(Inputs_matrix,F$1,$AA62)=0,"N/A",INDEX('Scaling Functions'!$B$95:$B$102,INDEX(Inputs_matrix,F$1,$AA62))),"NA")</f>
        <v>NA</v>
      </c>
      <c r="G62" s="282" t="str">
        <f>IF(G$1&lt;=Num_alternatives,IF(INDEX(Inputs_matrix,G$1,$AA62)=0,"N/A",INDEX('Scaling Functions'!$B$95:$B$102,INDEX(Inputs_matrix,G$1,$AA62))),"NA")</f>
        <v>NA</v>
      </c>
      <c r="H62" s="282" t="str">
        <f>IF(H$1&lt;=Num_alternatives,IF(INDEX(Inputs_matrix,H$1,$AA62)=0,"N/A",INDEX('Scaling Functions'!$B$95:$B$102,INDEX(Inputs_matrix,H$1,$AA62))),"NA")</f>
        <v>NA</v>
      </c>
      <c r="I62" s="282" t="str">
        <f>IF(I$1&lt;=Num_alternatives,IF(INDEX(Inputs_matrix,I$1,$AA62)=0,"N/A",INDEX('Scaling Functions'!$B$95:$B$102,INDEX(Inputs_matrix,I$1,$AA62))),"NA")</f>
        <v>NA</v>
      </c>
      <c r="J62" s="282" t="str">
        <f>IF(J$1&lt;=Num_alternatives,IF(INDEX(Inputs_matrix,J$1,$AA62)=0,"N/A",INDEX('Scaling Functions'!$B$95:$B$102,INDEX(Inputs_matrix,J$1,$AA62))),"NA")</f>
        <v>NA</v>
      </c>
      <c r="K62" s="282"/>
      <c r="L62" s="282" t="str">
        <f>IF(L$1&lt;=Num_alternatives,IF(INDEX(Inputs_matrix,L$1,$AA62)=0,"N/A",INDEX('Scaling Functions'!$B$95:$B$102,INDEX(Inputs_matrix,L$1,$AA62))),"NA")</f>
        <v>NA</v>
      </c>
      <c r="M62" s="282" t="str">
        <f>IF(M$1&lt;=Num_alternatives,IF(INDEX(Inputs_matrix,M$1,$AA62)=0,"N/A",INDEX('Scaling Functions'!$B$95:$B$102,INDEX(Inputs_matrix,M$1,$AA62))),"NA")</f>
        <v>NA</v>
      </c>
      <c r="N62" s="282" t="str">
        <f>IF(N$1&lt;=Num_alternatives,IF(INDEX(Inputs_matrix,N$1,$AA62)=0,"N/A",INDEX('Scaling Functions'!$B$95:$B$102,INDEX(Inputs_matrix,N$1,$AA62))),"NA")</f>
        <v>NA</v>
      </c>
      <c r="O62" s="282" t="str">
        <f>IF(O$1&lt;=Num_alternatives,IF(INDEX(Inputs_matrix,O$1,$AA62)=0,"N/A",INDEX('Scaling Functions'!$B$95:$B$102,INDEX(Inputs_matrix,O$1,$AA62))),"NA")</f>
        <v>NA</v>
      </c>
      <c r="P62" s="282" t="str">
        <f>IF(P$1&lt;=Num_alternatives,IF(INDEX(Inputs_matrix,P$1,$AA62)=0,"N/A",INDEX('Scaling Functions'!$B$95:$B$102,INDEX(Inputs_matrix,P$1,$AA62))),"NA")</f>
        <v>NA</v>
      </c>
      <c r="Q62" s="282" t="str">
        <f>IF(Q$1&lt;=Num_alternatives,IF(INDEX(Inputs_matrix,Q$1,$AA62)=0,"N/A",INDEX('Scaling Functions'!$B$95:$B$102,INDEX(Inputs_matrix,Q$1,$AA62))),"NA")</f>
        <v>NA</v>
      </c>
      <c r="R62" s="282" t="str">
        <f>IF(R$1&lt;=Num_alternatives,IF(INDEX(Inputs_matrix,R$1,$AA62)=0,"N/A",INDEX('Scaling Functions'!$B$95:$B$102,INDEX(Inputs_matrix,R$1,$AA62))),"NA")</f>
        <v>NA</v>
      </c>
      <c r="S62" s="282" t="str">
        <f>IF(S$1&lt;=Num_alternatives,IF(INDEX(Inputs_matrix,S$1,$AA62)=0,"N/A",INDEX('Scaling Functions'!$B$95:$B$102,INDEX(Inputs_matrix,S$1,$AA62))),"NA")</f>
        <v>NA</v>
      </c>
      <c r="T62" s="282" t="str">
        <f>IF(T$1&lt;=Num_alternatives,IF(INDEX(Inputs_matrix,T$1,$AA62)=0,"N/A",INDEX('Scaling Functions'!$B$95:$B$102,INDEX(Inputs_matrix,T$1,$AA62))),"NA")</f>
        <v>NA</v>
      </c>
      <c r="U62" s="283" t="str">
        <f>IF(U$1&lt;=Num_alternatives,IF(INDEX(Inputs_matrix,U$1,$AA62)=0,"N/A",INDEX('Scaling Functions'!$B$95:$B$102,INDEX(Inputs_matrix,U$1,$AA62))),"NA")</f>
        <v>NA</v>
      </c>
      <c r="AA62" s="13">
        <v>38</v>
      </c>
    </row>
    <row r="63" spans="1:27" ht="25.5" customHeight="1" thickBot="1">
      <c r="A63" s="418" t="s">
        <v>135</v>
      </c>
      <c r="B63" s="280" t="str">
        <f>IF(B$1&lt;=Num_alternatives,IF(INDEX(Inputs_matrix,B$1,$AA63)=0,"",INDEX('Scaling Functions'!$B$106:$B$112,INDEX(Inputs_matrix,B$1,$AA63))),"NA")</f>
        <v>NA</v>
      </c>
      <c r="C63" s="280" t="str">
        <f>IF(C$1&lt;=Num_alternatives,IF(INDEX(Inputs_matrix,C$1,$AA63)=0,"",INDEX('Scaling Functions'!$B$106:$B$112,INDEX(Inputs_matrix,C$1,$AA63))),"NA")</f>
        <v>NA</v>
      </c>
      <c r="D63" s="280" t="str">
        <f>IF(D$1&lt;=Num_alternatives,IF(INDEX(Inputs_matrix,D$1,$AA63)=0,"",INDEX('Scaling Functions'!$B$106:$B$112,INDEX(Inputs_matrix,D$1,$AA63))),"NA")</f>
        <v>NA</v>
      </c>
      <c r="E63" s="280" t="str">
        <f>IF(E$1&lt;=Num_alternatives,IF(INDEX(Inputs_matrix,E$1,$AA63)=0,"",INDEX('Scaling Functions'!$B$106:$B$112,INDEX(Inputs_matrix,E$1,$AA63))),"NA")</f>
        <v>NA</v>
      </c>
      <c r="F63" s="280" t="str">
        <f>IF(F$1&lt;=Num_alternatives,IF(INDEX(Inputs_matrix,F$1,$AA63)=0,"",INDEX('Scaling Functions'!$B$106:$B$112,INDEX(Inputs_matrix,F$1,$AA63))),"NA")</f>
        <v>NA</v>
      </c>
      <c r="G63" s="280" t="str">
        <f>IF(G$1&lt;=Num_alternatives,IF(INDEX(Inputs_matrix,G$1,$AA63)=0,"",INDEX('Scaling Functions'!$B$106:$B$112,INDEX(Inputs_matrix,G$1,$AA63))),"NA")</f>
        <v>NA</v>
      </c>
      <c r="H63" s="280" t="str">
        <f>IF(H$1&lt;=Num_alternatives,IF(INDEX(Inputs_matrix,H$1,$AA63)=0,"",INDEX('Scaling Functions'!$B$106:$B$112,INDEX(Inputs_matrix,H$1,$AA63))),"NA")</f>
        <v>NA</v>
      </c>
      <c r="I63" s="280" t="str">
        <f>IF(I$1&lt;=Num_alternatives,IF(INDEX(Inputs_matrix,I$1,$AA63)=0,"",INDEX('Scaling Functions'!$B$106:$B$112,INDEX(Inputs_matrix,I$1,$AA63))),"NA")</f>
        <v>NA</v>
      </c>
      <c r="J63" s="280" t="str">
        <f>IF(J$1&lt;=Num_alternatives,IF(INDEX(Inputs_matrix,J$1,$AA63)=0,"",INDEX('Scaling Functions'!$B$106:$B$112,INDEX(Inputs_matrix,J$1,$AA63))),"NA")</f>
        <v>NA</v>
      </c>
      <c r="K63" s="280"/>
      <c r="L63" s="280" t="str">
        <f>IF(L$1&lt;=Num_alternatives,IF(INDEX(Inputs_matrix,L$1,$AA63)=0,"",INDEX('Scaling Functions'!$B$106:$B$112,INDEX(Inputs_matrix,L$1,$AA63))),"NA")</f>
        <v>NA</v>
      </c>
      <c r="M63" s="280" t="str">
        <f>IF(M$1&lt;=Num_alternatives,IF(INDEX(Inputs_matrix,M$1,$AA63)=0,"",INDEX('Scaling Functions'!$B$106:$B$112,INDEX(Inputs_matrix,M$1,$AA63))),"NA")</f>
        <v>NA</v>
      </c>
      <c r="N63" s="280" t="str">
        <f>IF(N$1&lt;=Num_alternatives,IF(INDEX(Inputs_matrix,N$1,$AA63)=0,"",INDEX('Scaling Functions'!$B$106:$B$112,INDEX(Inputs_matrix,N$1,$AA63))),"NA")</f>
        <v>NA</v>
      </c>
      <c r="O63" s="280" t="str">
        <f>IF(O$1&lt;=Num_alternatives,IF(INDEX(Inputs_matrix,O$1,$AA63)=0,"",INDEX('Scaling Functions'!$B$106:$B$112,INDEX(Inputs_matrix,O$1,$AA63))),"NA")</f>
        <v>NA</v>
      </c>
      <c r="P63" s="280" t="str">
        <f>IF(P$1&lt;=Num_alternatives,IF(INDEX(Inputs_matrix,P$1,$AA63)=0,"",INDEX('Scaling Functions'!$B$106:$B$112,INDEX(Inputs_matrix,P$1,$AA63))),"NA")</f>
        <v>NA</v>
      </c>
      <c r="Q63" s="280" t="str">
        <f>IF(Q$1&lt;=Num_alternatives,IF(INDEX(Inputs_matrix,Q$1,$AA63)=0,"",INDEX('Scaling Functions'!$B$106:$B$112,INDEX(Inputs_matrix,Q$1,$AA63))),"NA")</f>
        <v>NA</v>
      </c>
      <c r="R63" s="280" t="str">
        <f>IF(R$1&lt;=Num_alternatives,IF(INDEX(Inputs_matrix,R$1,$AA63)=0,"",INDEX('Scaling Functions'!$B$106:$B$112,INDEX(Inputs_matrix,R$1,$AA63))),"NA")</f>
        <v>NA</v>
      </c>
      <c r="S63" s="280" t="str">
        <f>IF(S$1&lt;=Num_alternatives,IF(INDEX(Inputs_matrix,S$1,$AA63)=0,"",INDEX('Scaling Functions'!$B$106:$B$112,INDEX(Inputs_matrix,S$1,$AA63))),"NA")</f>
        <v>NA</v>
      </c>
      <c r="T63" s="280" t="str">
        <f>IF(T$1&lt;=Num_alternatives,IF(INDEX(Inputs_matrix,T$1,$AA63)=0,"",INDEX('Scaling Functions'!$B$106:$B$112,INDEX(Inputs_matrix,T$1,$AA63))),"NA")</f>
        <v>NA</v>
      </c>
      <c r="U63" s="281" t="str">
        <f>IF(U$1&lt;=Num_alternatives,IF(INDEX(Inputs_matrix,U$1,$AA63)=0,"",INDEX('Scaling Functions'!$B$106:$B$112,INDEX(Inputs_matrix,U$1,$AA63))),"NA")</f>
        <v>NA</v>
      </c>
      <c r="AA63" s="13">
        <v>39</v>
      </c>
    </row>
    <row r="64" ht="12.75" hidden="1">
      <c r="AA64" s="13">
        <v>2</v>
      </c>
    </row>
    <row r="65" ht="12.75" hidden="1">
      <c r="AA65" s="13">
        <v>3</v>
      </c>
    </row>
    <row r="66" ht="12.75" hidden="1">
      <c r="AA66" s="13">
        <v>1</v>
      </c>
    </row>
    <row r="67" ht="12.75" hidden="1"/>
    <row r="68" ht="12.75" hidden="1">
      <c r="AA68" s="13">
        <v>2</v>
      </c>
    </row>
    <row r="69" ht="12.75" hidden="1">
      <c r="AA69" s="13">
        <v>3</v>
      </c>
    </row>
  </sheetData>
  <sheetProtection password="CA19" sheet="1" objects="1" scenarios="1" formatRows="0"/>
  <printOptions/>
  <pageMargins left="0.75" right="0.75" top="1" bottom="1" header="0.5" footer="0.5"/>
  <pageSetup fitToHeight="0" fitToWidth="1" horizontalDpi="600" verticalDpi="600" orientation="landscape" scale="69" r:id="rId1"/>
  <colBreaks count="1" manualBreakCount="1">
    <brk id="21" max="65535" man="1"/>
  </colBreaks>
</worksheet>
</file>

<file path=xl/worksheets/sheet5.xml><?xml version="1.0" encoding="utf-8"?>
<worksheet xmlns="http://schemas.openxmlformats.org/spreadsheetml/2006/main" xmlns:r="http://schemas.openxmlformats.org/officeDocument/2006/relationships">
  <sheetPr codeName="Sheet1">
    <tabColor indexed="45"/>
  </sheetPr>
  <dimension ref="A1:H174"/>
  <sheetViews>
    <sheetView defaultGridColor="0" view="pageBreakPreview" zoomScale="75" zoomScaleNormal="75" zoomScaleSheetLayoutView="75" colorId="22" workbookViewId="0" topLeftCell="A1">
      <pane ySplit="1" topLeftCell="W2" activePane="bottomLeft" state="frozen"/>
      <selection pane="topLeft" activeCell="N99" sqref="N99"/>
      <selection pane="bottomLeft" activeCell="D5" sqref="D5"/>
    </sheetView>
  </sheetViews>
  <sheetFormatPr defaultColWidth="9.140625" defaultRowHeight="12.75"/>
  <cols>
    <col min="1" max="1" width="28.421875" style="39" customWidth="1"/>
    <col min="2" max="2" width="39.421875" style="39" customWidth="1"/>
    <col min="3" max="3" width="8.8515625" style="39" bestFit="1" customWidth="1"/>
    <col min="4" max="4" width="52.57421875" style="39" bestFit="1" customWidth="1"/>
    <col min="5" max="5" width="12.28125" style="39" customWidth="1"/>
    <col min="6" max="16384" width="9.140625" style="39" customWidth="1"/>
  </cols>
  <sheetData>
    <row r="1" spans="1:5" ht="12.75">
      <c r="A1" s="27" t="s">
        <v>73</v>
      </c>
      <c r="B1" s="27" t="s">
        <v>72</v>
      </c>
      <c r="C1" s="28" t="s">
        <v>114</v>
      </c>
      <c r="D1" s="28" t="s">
        <v>192</v>
      </c>
      <c r="E1" s="28"/>
    </row>
    <row r="2" spans="1:7" ht="15.75">
      <c r="A2" s="26" t="s">
        <v>67</v>
      </c>
      <c r="B2" s="205" t="s">
        <v>104</v>
      </c>
      <c r="C2" s="206" t="s">
        <v>97</v>
      </c>
      <c r="D2" s="206" t="s">
        <v>148</v>
      </c>
      <c r="E2" s="40"/>
      <c r="G2" s="49"/>
    </row>
    <row r="3" spans="1:5" ht="13.5" customHeight="1">
      <c r="A3" s="26"/>
      <c r="B3" s="207" t="s">
        <v>123</v>
      </c>
      <c r="C3" s="208">
        <v>1</v>
      </c>
      <c r="D3" s="208">
        <v>0</v>
      </c>
      <c r="E3" s="40"/>
    </row>
    <row r="4" spans="1:5" ht="12.75">
      <c r="A4" s="41"/>
      <c r="B4" s="209" t="s">
        <v>68</v>
      </c>
      <c r="C4" s="210">
        <v>2</v>
      </c>
      <c r="D4" s="208">
        <f>10^((C4)-8)</f>
        <v>1E-06</v>
      </c>
      <c r="E4" s="150"/>
    </row>
    <row r="5" spans="1:5" ht="12.75">
      <c r="A5" s="29"/>
      <c r="B5" s="209" t="s">
        <v>1</v>
      </c>
      <c r="C5" s="210">
        <v>3</v>
      </c>
      <c r="D5" s="208">
        <f aca="true" t="shared" si="0" ref="D5:D10">10^((C5)-8)</f>
        <v>1E-05</v>
      </c>
      <c r="E5" s="150"/>
    </row>
    <row r="6" spans="1:5" ht="12.75">
      <c r="A6" s="29"/>
      <c r="B6" s="209" t="s">
        <v>2</v>
      </c>
      <c r="C6" s="210">
        <v>4</v>
      </c>
      <c r="D6" s="208">
        <f t="shared" si="0"/>
        <v>0.0001</v>
      </c>
      <c r="E6" s="150"/>
    </row>
    <row r="7" spans="1:5" ht="12.75">
      <c r="A7" s="29"/>
      <c r="B7" s="209" t="s">
        <v>74</v>
      </c>
      <c r="C7" s="210">
        <v>5</v>
      </c>
      <c r="D7" s="208">
        <f t="shared" si="0"/>
        <v>0.001</v>
      </c>
      <c r="E7" s="150"/>
    </row>
    <row r="8" spans="1:5" ht="12.75">
      <c r="A8" s="29"/>
      <c r="B8" s="209" t="s">
        <v>4</v>
      </c>
      <c r="C8" s="210">
        <v>6</v>
      </c>
      <c r="D8" s="208">
        <f t="shared" si="0"/>
        <v>0.01</v>
      </c>
      <c r="E8" s="154"/>
    </row>
    <row r="9" spans="1:4" ht="12.75">
      <c r="A9" s="29"/>
      <c r="B9" s="209" t="s">
        <v>3</v>
      </c>
      <c r="C9" s="210">
        <v>7</v>
      </c>
      <c r="D9" s="208">
        <f t="shared" si="0"/>
        <v>0.1</v>
      </c>
    </row>
    <row r="10" spans="1:4" ht="12.75">
      <c r="A10" s="29"/>
      <c r="B10" s="211" t="s">
        <v>5</v>
      </c>
      <c r="C10" s="212">
        <v>8</v>
      </c>
      <c r="D10" s="213">
        <f t="shared" si="0"/>
        <v>1</v>
      </c>
    </row>
    <row r="11" ht="12.75">
      <c r="A11" s="38"/>
    </row>
    <row r="12" spans="1:4" ht="12.75">
      <c r="A12" s="38"/>
      <c r="B12" s="205" t="s">
        <v>105</v>
      </c>
      <c r="C12" s="206" t="s">
        <v>97</v>
      </c>
      <c r="D12" s="206" t="s">
        <v>149</v>
      </c>
    </row>
    <row r="13" spans="1:4" ht="12.75">
      <c r="A13" s="38"/>
      <c r="B13" s="214"/>
      <c r="C13" s="215"/>
      <c r="D13" s="215"/>
    </row>
    <row r="14" spans="1:7" s="45" customFormat="1" ht="12.75">
      <c r="A14" s="44"/>
      <c r="B14" s="216" t="s">
        <v>123</v>
      </c>
      <c r="C14" s="208">
        <v>1</v>
      </c>
      <c r="D14" s="208">
        <v>0</v>
      </c>
      <c r="F14" s="150"/>
      <c r="G14" s="150"/>
    </row>
    <row r="15" spans="1:7" ht="12.75">
      <c r="A15" s="38"/>
      <c r="B15" s="209" t="s">
        <v>6</v>
      </c>
      <c r="C15" s="210">
        <v>2</v>
      </c>
      <c r="D15" s="210">
        <f>IF(C15=2,2,10^(C15-2))</f>
        <v>2</v>
      </c>
      <c r="F15" s="150"/>
      <c r="G15" s="150"/>
    </row>
    <row r="16" spans="1:7" ht="12.75">
      <c r="A16" s="38"/>
      <c r="B16" s="209" t="s">
        <v>7</v>
      </c>
      <c r="C16" s="210">
        <v>3</v>
      </c>
      <c r="D16" s="210">
        <f>IF(C16=2,2,10^(C16-2))</f>
        <v>10</v>
      </c>
      <c r="G16" s="49"/>
    </row>
    <row r="17" spans="1:7" ht="12.75">
      <c r="A17" s="38"/>
      <c r="B17" s="209" t="s">
        <v>8</v>
      </c>
      <c r="C17" s="210">
        <v>4</v>
      </c>
      <c r="D17" s="210">
        <f>IF(C17=2,2,10^(C17-2))</f>
        <v>100</v>
      </c>
      <c r="G17" s="49"/>
    </row>
    <row r="18" spans="1:7" ht="12.75">
      <c r="A18" s="38"/>
      <c r="B18" s="209" t="s">
        <v>76</v>
      </c>
      <c r="C18" s="210">
        <v>5</v>
      </c>
      <c r="D18" s="210">
        <f>IF(C18=2,2,10^(C18-2))</f>
        <v>1000</v>
      </c>
      <c r="G18" s="49"/>
    </row>
    <row r="19" spans="1:7" ht="12.75">
      <c r="A19" s="38"/>
      <c r="B19" s="209" t="s">
        <v>75</v>
      </c>
      <c r="C19" s="210">
        <v>6</v>
      </c>
      <c r="D19" s="210">
        <f>IF(C19=2,2,10^(C19-2))</f>
        <v>10000</v>
      </c>
      <c r="G19" s="49"/>
    </row>
    <row r="20" spans="1:7" ht="12.75">
      <c r="A20" s="38"/>
      <c r="B20" s="209"/>
      <c r="C20" s="210"/>
      <c r="D20" s="210"/>
      <c r="G20" s="49"/>
    </row>
    <row r="21" spans="1:7" ht="12.75">
      <c r="A21" s="38"/>
      <c r="B21" s="211"/>
      <c r="C21" s="212"/>
      <c r="D21" s="212"/>
      <c r="G21" s="49"/>
    </row>
    <row r="22" spans="1:7" ht="12.75">
      <c r="A22" s="38"/>
      <c r="G22" s="49"/>
    </row>
    <row r="23" spans="1:7" ht="12.75">
      <c r="A23" s="38"/>
      <c r="B23" s="205" t="s">
        <v>106</v>
      </c>
      <c r="C23" s="206"/>
      <c r="D23" s="206" t="s">
        <v>103</v>
      </c>
      <c r="G23" s="49"/>
    </row>
    <row r="24" spans="1:7" ht="12.75">
      <c r="A24" s="38"/>
      <c r="B24" s="214"/>
      <c r="C24" s="215"/>
      <c r="D24" s="215"/>
      <c r="G24" s="49"/>
    </row>
    <row r="25" spans="1:4" ht="12.75">
      <c r="A25" s="38"/>
      <c r="B25" s="216" t="s">
        <v>123</v>
      </c>
      <c r="C25" s="208">
        <v>1</v>
      </c>
      <c r="D25" s="208">
        <v>0</v>
      </c>
    </row>
    <row r="26" spans="1:4" ht="12.75">
      <c r="A26" s="38"/>
      <c r="B26" s="209" t="s">
        <v>38</v>
      </c>
      <c r="C26" s="210">
        <v>2</v>
      </c>
      <c r="D26" s="210">
        <v>2.5</v>
      </c>
    </row>
    <row r="27" spans="1:4" ht="12.75">
      <c r="A27" s="38"/>
      <c r="B27" s="209" t="s">
        <v>39</v>
      </c>
      <c r="C27" s="210">
        <v>3</v>
      </c>
      <c r="D27" s="210">
        <v>7.5</v>
      </c>
    </row>
    <row r="28" spans="1:7" ht="12.75">
      <c r="A28" s="38"/>
      <c r="B28" s="209" t="s">
        <v>40</v>
      </c>
      <c r="C28" s="210">
        <v>4</v>
      </c>
      <c r="D28" s="210">
        <v>15</v>
      </c>
      <c r="G28" s="127"/>
    </row>
    <row r="29" spans="1:4" ht="12.75">
      <c r="A29" s="38"/>
      <c r="B29" s="209" t="s">
        <v>41</v>
      </c>
      <c r="C29" s="210">
        <v>5</v>
      </c>
      <c r="D29" s="210">
        <v>50</v>
      </c>
    </row>
    <row r="30" spans="1:4" ht="12.75">
      <c r="A30" s="38"/>
      <c r="B30" s="209" t="s">
        <v>42</v>
      </c>
      <c r="C30" s="210">
        <v>6</v>
      </c>
      <c r="D30" s="210">
        <v>100</v>
      </c>
    </row>
    <row r="31" spans="1:4" ht="12.75">
      <c r="A31" s="38"/>
      <c r="B31" s="209" t="s">
        <v>43</v>
      </c>
      <c r="C31" s="210">
        <v>7</v>
      </c>
      <c r="D31" s="210">
        <v>500</v>
      </c>
    </row>
    <row r="32" spans="1:4" ht="12.75">
      <c r="A32" s="38"/>
      <c r="B32" s="211"/>
      <c r="C32" s="212"/>
      <c r="D32" s="212"/>
    </row>
    <row r="33" ht="12.75">
      <c r="A33" s="38"/>
    </row>
    <row r="34" spans="1:4" ht="12.75">
      <c r="A34" s="38"/>
      <c r="B34" s="205" t="s">
        <v>107</v>
      </c>
      <c r="C34" s="206" t="s">
        <v>97</v>
      </c>
      <c r="D34" s="206" t="s">
        <v>150</v>
      </c>
    </row>
    <row r="35" spans="1:4" ht="12.75">
      <c r="A35" s="38"/>
      <c r="B35" s="214"/>
      <c r="C35" s="215"/>
      <c r="D35" s="215"/>
    </row>
    <row r="36" spans="1:4" ht="12.75">
      <c r="A36" s="38"/>
      <c r="B36" s="216" t="s">
        <v>123</v>
      </c>
      <c r="C36" s="208">
        <v>1</v>
      </c>
      <c r="D36" s="208">
        <v>0</v>
      </c>
    </row>
    <row r="37" spans="1:4" ht="12.75">
      <c r="A37" s="38"/>
      <c r="B37" s="209" t="s">
        <v>68</v>
      </c>
      <c r="C37" s="210">
        <v>2</v>
      </c>
      <c r="D37" s="208">
        <f>10^((C37)-8)</f>
        <v>1E-06</v>
      </c>
    </row>
    <row r="38" spans="1:4" ht="12.75">
      <c r="A38" s="38"/>
      <c r="B38" s="209" t="s">
        <v>1</v>
      </c>
      <c r="C38" s="210">
        <v>3</v>
      </c>
      <c r="D38" s="208">
        <f aca="true" t="shared" si="1" ref="D38:D43">10^((C38)-8)</f>
        <v>1E-05</v>
      </c>
    </row>
    <row r="39" spans="1:4" ht="12.75">
      <c r="A39" s="38"/>
      <c r="B39" s="209" t="s">
        <v>2</v>
      </c>
      <c r="C39" s="210">
        <v>4</v>
      </c>
      <c r="D39" s="208">
        <f t="shared" si="1"/>
        <v>0.0001</v>
      </c>
    </row>
    <row r="40" spans="1:4" ht="12.75">
      <c r="A40" s="38"/>
      <c r="B40" s="209" t="s">
        <v>74</v>
      </c>
      <c r="C40" s="210">
        <v>5</v>
      </c>
      <c r="D40" s="208">
        <f t="shared" si="1"/>
        <v>0.001</v>
      </c>
    </row>
    <row r="41" spans="1:4" ht="12.75">
      <c r="A41" s="38"/>
      <c r="B41" s="209" t="s">
        <v>4</v>
      </c>
      <c r="C41" s="210">
        <v>6</v>
      </c>
      <c r="D41" s="208">
        <f t="shared" si="1"/>
        <v>0.01</v>
      </c>
    </row>
    <row r="42" spans="1:4" ht="12.75">
      <c r="A42" s="38"/>
      <c r="B42" s="209" t="s">
        <v>3</v>
      </c>
      <c r="C42" s="210">
        <v>7</v>
      </c>
      <c r="D42" s="208">
        <f t="shared" si="1"/>
        <v>0.1</v>
      </c>
    </row>
    <row r="43" spans="1:4" ht="12.75">
      <c r="A43" s="38"/>
      <c r="B43" s="211" t="s">
        <v>5</v>
      </c>
      <c r="C43" s="212">
        <v>8</v>
      </c>
      <c r="D43" s="213">
        <f t="shared" si="1"/>
        <v>1</v>
      </c>
    </row>
    <row r="44" ht="12.75">
      <c r="A44" s="38"/>
    </row>
    <row r="45" spans="1:4" ht="12.75">
      <c r="A45" s="38"/>
      <c r="B45" s="205" t="s">
        <v>109</v>
      </c>
      <c r="C45" s="206" t="s">
        <v>97</v>
      </c>
      <c r="D45" s="206" t="s">
        <v>108</v>
      </c>
    </row>
    <row r="46" spans="1:4" ht="12.75">
      <c r="A46" s="38"/>
      <c r="B46" s="214"/>
      <c r="C46" s="215"/>
      <c r="D46" s="215"/>
    </row>
    <row r="47" spans="1:4" ht="12.75">
      <c r="A47" s="38"/>
      <c r="B47" s="216" t="s">
        <v>123</v>
      </c>
      <c r="C47" s="208">
        <v>1</v>
      </c>
      <c r="D47" s="208">
        <v>0</v>
      </c>
    </row>
    <row r="48" spans="1:4" ht="12.75">
      <c r="A48" s="38"/>
      <c r="B48" s="209" t="s">
        <v>9</v>
      </c>
      <c r="C48" s="210">
        <v>2</v>
      </c>
      <c r="D48" s="210">
        <v>0</v>
      </c>
    </row>
    <row r="49" spans="1:4" ht="12.75">
      <c r="A49" s="38"/>
      <c r="B49" s="209" t="s">
        <v>44</v>
      </c>
      <c r="C49" s="210">
        <v>3</v>
      </c>
      <c r="D49" s="210">
        <v>1</v>
      </c>
    </row>
    <row r="50" spans="1:4" ht="12.75">
      <c r="A50" s="38"/>
      <c r="B50" s="209" t="s">
        <v>31</v>
      </c>
      <c r="C50" s="210">
        <v>4</v>
      </c>
      <c r="D50" s="210">
        <v>10</v>
      </c>
    </row>
    <row r="51" spans="1:4" ht="12.75">
      <c r="A51" s="38"/>
      <c r="B51" s="209" t="s">
        <v>32</v>
      </c>
      <c r="C51" s="210">
        <v>5</v>
      </c>
      <c r="D51" s="210">
        <v>100</v>
      </c>
    </row>
    <row r="52" spans="1:4" ht="12.75">
      <c r="A52" s="38"/>
      <c r="B52" s="222"/>
      <c r="C52" s="223"/>
      <c r="D52" s="223"/>
    </row>
    <row r="53" spans="1:5" ht="15.75">
      <c r="A53" s="46"/>
      <c r="B53" s="42"/>
      <c r="C53" s="43"/>
      <c r="D53" s="43"/>
      <c r="E53" s="40"/>
    </row>
    <row r="54" spans="1:4" ht="12.75">
      <c r="A54" s="46"/>
      <c r="B54" s="33" t="s">
        <v>110</v>
      </c>
      <c r="C54" s="34">
        <v>0.03</v>
      </c>
      <c r="D54" s="30"/>
    </row>
    <row r="55" spans="1:4" ht="12.75">
      <c r="A55" s="46"/>
      <c r="B55" s="33"/>
      <c r="C55" s="36"/>
      <c r="D55" s="30"/>
    </row>
    <row r="56" spans="1:4" ht="12.75">
      <c r="A56" s="31" t="s">
        <v>162</v>
      </c>
      <c r="B56" s="224" t="s">
        <v>104</v>
      </c>
      <c r="C56" s="225" t="s">
        <v>97</v>
      </c>
      <c r="D56" s="225" t="s">
        <v>148</v>
      </c>
    </row>
    <row r="57" spans="1:4" ht="15.75">
      <c r="A57" s="59"/>
      <c r="B57" s="226" t="s">
        <v>123</v>
      </c>
      <c r="C57" s="227">
        <v>1</v>
      </c>
      <c r="D57" s="227">
        <v>0</v>
      </c>
    </row>
    <row r="58" spans="1:4" ht="15.75">
      <c r="A58" s="59"/>
      <c r="B58" s="228" t="s">
        <v>68</v>
      </c>
      <c r="C58" s="229">
        <v>2</v>
      </c>
      <c r="D58" s="227">
        <f>10^((C58)-8)</f>
        <v>1E-06</v>
      </c>
    </row>
    <row r="59" spans="1:4" ht="15.75">
      <c r="A59" s="59"/>
      <c r="B59" s="228" t="s">
        <v>1</v>
      </c>
      <c r="C59" s="229">
        <v>3</v>
      </c>
      <c r="D59" s="227">
        <f aca="true" t="shared" si="2" ref="D59:D64">10^((C59)-8)</f>
        <v>1E-05</v>
      </c>
    </row>
    <row r="60" spans="1:4" ht="15.75">
      <c r="A60" s="59"/>
      <c r="B60" s="228" t="s">
        <v>2</v>
      </c>
      <c r="C60" s="229">
        <v>4</v>
      </c>
      <c r="D60" s="227">
        <f t="shared" si="2"/>
        <v>0.0001</v>
      </c>
    </row>
    <row r="61" spans="1:4" ht="15.75">
      <c r="A61" s="59"/>
      <c r="B61" s="228" t="s">
        <v>74</v>
      </c>
      <c r="C61" s="229">
        <v>5</v>
      </c>
      <c r="D61" s="227">
        <f t="shared" si="2"/>
        <v>0.001</v>
      </c>
    </row>
    <row r="62" spans="1:4" ht="15.75">
      <c r="A62" s="59"/>
      <c r="B62" s="228" t="s">
        <v>4</v>
      </c>
      <c r="C62" s="229">
        <v>6</v>
      </c>
      <c r="D62" s="227">
        <f t="shared" si="2"/>
        <v>0.01</v>
      </c>
    </row>
    <row r="63" spans="1:4" ht="15.75">
      <c r="A63" s="59"/>
      <c r="B63" s="228" t="s">
        <v>3</v>
      </c>
      <c r="C63" s="229">
        <v>7</v>
      </c>
      <c r="D63" s="227">
        <f t="shared" si="2"/>
        <v>0.1</v>
      </c>
    </row>
    <row r="64" spans="1:4" ht="15.75">
      <c r="A64" s="59"/>
      <c r="B64" s="230" t="s">
        <v>5</v>
      </c>
      <c r="C64" s="231">
        <v>8</v>
      </c>
      <c r="D64" s="232">
        <f t="shared" si="2"/>
        <v>1</v>
      </c>
    </row>
    <row r="65" ht="15.75">
      <c r="A65" s="59"/>
    </row>
    <row r="66" spans="1:4" ht="15.75">
      <c r="A66" s="59"/>
      <c r="B66" s="224" t="s">
        <v>105</v>
      </c>
      <c r="C66" s="225" t="s">
        <v>97</v>
      </c>
      <c r="D66" s="225" t="s">
        <v>149</v>
      </c>
    </row>
    <row r="67" spans="1:4" ht="15.75">
      <c r="A67" s="59"/>
      <c r="B67" s="226" t="s">
        <v>123</v>
      </c>
      <c r="C67" s="259">
        <v>1</v>
      </c>
      <c r="D67" s="259">
        <v>0</v>
      </c>
    </row>
    <row r="68" spans="1:4" ht="15.75">
      <c r="A68" s="59"/>
      <c r="B68" s="228" t="s">
        <v>6</v>
      </c>
      <c r="C68" s="227">
        <v>2</v>
      </c>
      <c r="D68" s="227">
        <v>2</v>
      </c>
    </row>
    <row r="69" spans="1:4" ht="15.75">
      <c r="A69" s="59"/>
      <c r="B69" s="228" t="s">
        <v>7</v>
      </c>
      <c r="C69" s="229">
        <v>3</v>
      </c>
      <c r="D69" s="229">
        <v>10</v>
      </c>
    </row>
    <row r="70" spans="1:4" ht="15.75">
      <c r="A70" s="59"/>
      <c r="B70" s="228" t="s">
        <v>8</v>
      </c>
      <c r="C70" s="229">
        <v>4</v>
      </c>
      <c r="D70" s="229">
        <v>100</v>
      </c>
    </row>
    <row r="71" spans="1:4" ht="15.75">
      <c r="A71" s="59"/>
      <c r="B71" s="230"/>
      <c r="C71" s="231"/>
      <c r="D71" s="231"/>
    </row>
    <row r="72" ht="15.75">
      <c r="A72" s="59"/>
    </row>
    <row r="73" spans="1:4" ht="15.75">
      <c r="A73" s="59"/>
      <c r="B73" s="224" t="s">
        <v>109</v>
      </c>
      <c r="C73" s="225" t="s">
        <v>97</v>
      </c>
      <c r="D73" s="225" t="s">
        <v>108</v>
      </c>
    </row>
    <row r="74" spans="1:4" ht="15.75">
      <c r="A74" s="59"/>
      <c r="B74" s="226" t="s">
        <v>123</v>
      </c>
      <c r="C74" s="227">
        <v>1</v>
      </c>
      <c r="D74" s="227">
        <v>0</v>
      </c>
    </row>
    <row r="75" spans="1:4" ht="15.75">
      <c r="A75" s="59"/>
      <c r="B75" s="228" t="s">
        <v>9</v>
      </c>
      <c r="C75" s="229">
        <v>2</v>
      </c>
      <c r="D75" s="229">
        <v>0</v>
      </c>
    </row>
    <row r="76" spans="1:4" ht="15.75">
      <c r="A76" s="59"/>
      <c r="B76" s="228" t="s">
        <v>44</v>
      </c>
      <c r="C76" s="229">
        <v>3</v>
      </c>
      <c r="D76" s="229">
        <v>1</v>
      </c>
    </row>
    <row r="77" spans="1:4" ht="15.75">
      <c r="A77" s="59"/>
      <c r="B77" s="228" t="s">
        <v>31</v>
      </c>
      <c r="C77" s="229">
        <v>4</v>
      </c>
      <c r="D77" s="229">
        <v>10</v>
      </c>
    </row>
    <row r="78" spans="1:4" ht="15.75">
      <c r="A78" s="59"/>
      <c r="B78" s="228" t="s">
        <v>32</v>
      </c>
      <c r="C78" s="229">
        <v>5</v>
      </c>
      <c r="D78" s="229">
        <v>100</v>
      </c>
    </row>
    <row r="79" spans="1:4" ht="15.75">
      <c r="A79" s="59"/>
      <c r="B79" s="230"/>
      <c r="C79" s="231"/>
      <c r="D79" s="231"/>
    </row>
    <row r="80" spans="1:5" ht="12.75">
      <c r="A80" s="26" t="s">
        <v>65</v>
      </c>
      <c r="B80" s="33" t="s">
        <v>224</v>
      </c>
      <c r="C80" s="38"/>
      <c r="D80" s="34" t="s">
        <v>225</v>
      </c>
      <c r="E80" s="161"/>
    </row>
    <row r="81" spans="1:5" ht="12.75">
      <c r="A81" s="26"/>
      <c r="B81" s="217" t="s">
        <v>45</v>
      </c>
      <c r="C81" s="206"/>
      <c r="D81" s="218">
        <v>0.5</v>
      </c>
      <c r="E81" s="348"/>
    </row>
    <row r="82" spans="1:5" ht="12.75">
      <c r="A82" s="459" t="s">
        <v>273</v>
      </c>
      <c r="B82" s="217" t="s">
        <v>123</v>
      </c>
      <c r="C82" s="218">
        <v>1</v>
      </c>
      <c r="D82" s="218">
        <v>0</v>
      </c>
      <c r="E82" s="348"/>
    </row>
    <row r="83" spans="1:5" ht="12.75">
      <c r="A83" s="459"/>
      <c r="B83" s="219" t="s">
        <v>270</v>
      </c>
      <c r="C83" s="208">
        <v>2</v>
      </c>
      <c r="D83" s="208">
        <v>1</v>
      </c>
      <c r="E83" s="348"/>
    </row>
    <row r="84" spans="1:5" ht="12.75">
      <c r="A84" s="459"/>
      <c r="B84" s="219" t="s">
        <v>271</v>
      </c>
      <c r="C84" s="208">
        <v>3</v>
      </c>
      <c r="D84" s="208">
        <v>0.5</v>
      </c>
      <c r="E84" s="348"/>
    </row>
    <row r="85" spans="1:5" ht="12.75">
      <c r="A85" s="460"/>
      <c r="B85" s="219" t="s">
        <v>272</v>
      </c>
      <c r="C85" s="208">
        <v>4</v>
      </c>
      <c r="D85" s="208">
        <v>0.1</v>
      </c>
      <c r="E85" s="348"/>
    </row>
    <row r="86" spans="1:5" ht="12.75">
      <c r="A86" s="26"/>
      <c r="B86" s="219" t="s">
        <v>47</v>
      </c>
      <c r="C86" s="215"/>
      <c r="D86" s="208">
        <v>0.5</v>
      </c>
      <c r="E86" s="348"/>
    </row>
    <row r="87" spans="1:5" ht="12.75">
      <c r="A87" s="26"/>
      <c r="B87" s="219" t="s">
        <v>11</v>
      </c>
      <c r="C87" s="215"/>
      <c r="D87" s="208">
        <v>0.5</v>
      </c>
      <c r="E87" s="348"/>
    </row>
    <row r="88" spans="1:5" ht="38.25">
      <c r="A88" s="26"/>
      <c r="B88" s="219" t="s">
        <v>48</v>
      </c>
      <c r="C88" s="215"/>
      <c r="D88" s="208">
        <v>1</v>
      </c>
      <c r="E88" s="348"/>
    </row>
    <row r="89" spans="1:5" ht="25.5">
      <c r="A89" s="26"/>
      <c r="B89" s="219" t="s">
        <v>49</v>
      </c>
      <c r="C89" s="215"/>
      <c r="D89" s="208">
        <v>0.8</v>
      </c>
      <c r="E89" s="348"/>
    </row>
    <row r="90" spans="1:5" ht="25.5">
      <c r="A90" s="26"/>
      <c r="B90" s="219" t="s">
        <v>50</v>
      </c>
      <c r="C90" s="215"/>
      <c r="D90" s="208">
        <v>0.3</v>
      </c>
      <c r="E90" s="348"/>
    </row>
    <row r="91" spans="1:5" ht="38.25">
      <c r="A91" s="26"/>
      <c r="B91" s="219" t="s">
        <v>51</v>
      </c>
      <c r="C91" s="215"/>
      <c r="D91" s="208">
        <v>0.5</v>
      </c>
      <c r="E91" s="348"/>
    </row>
    <row r="92" spans="1:5" ht="25.5">
      <c r="A92" s="26"/>
      <c r="B92" s="220" t="s">
        <v>52</v>
      </c>
      <c r="C92" s="221"/>
      <c r="D92" s="213">
        <v>0.1</v>
      </c>
      <c r="E92" s="348"/>
    </row>
    <row r="93" spans="1:5" ht="12.75">
      <c r="A93" s="26"/>
      <c r="B93" s="26"/>
      <c r="C93" s="25"/>
      <c r="D93" s="25"/>
      <c r="E93" s="161"/>
    </row>
    <row r="94" spans="1:5" ht="12.75">
      <c r="A94" s="26"/>
      <c r="B94" s="205" t="s">
        <v>111</v>
      </c>
      <c r="C94" s="206" t="s">
        <v>97</v>
      </c>
      <c r="D94" s="206" t="s">
        <v>113</v>
      </c>
      <c r="E94" s="161"/>
    </row>
    <row r="95" spans="1:4" ht="12.75">
      <c r="A95" s="38"/>
      <c r="B95" s="216" t="s">
        <v>123</v>
      </c>
      <c r="C95" s="208">
        <v>1</v>
      </c>
      <c r="D95" s="208">
        <v>0</v>
      </c>
    </row>
    <row r="96" spans="1:4" ht="12.75">
      <c r="A96" s="38"/>
      <c r="B96" s="209" t="s">
        <v>53</v>
      </c>
      <c r="C96" s="210">
        <v>2</v>
      </c>
      <c r="D96" s="210">
        <v>0.05</v>
      </c>
    </row>
    <row r="97" spans="1:4" ht="12.75">
      <c r="A97" s="38"/>
      <c r="B97" s="209" t="s">
        <v>54</v>
      </c>
      <c r="C97" s="210">
        <v>3</v>
      </c>
      <c r="D97" s="210">
        <v>0.1</v>
      </c>
    </row>
    <row r="98" spans="1:4" ht="12.75">
      <c r="A98" s="38"/>
      <c r="B98" s="209" t="s">
        <v>55</v>
      </c>
      <c r="C98" s="210">
        <v>4</v>
      </c>
      <c r="D98" s="210">
        <v>0.25</v>
      </c>
    </row>
    <row r="99" spans="1:4" ht="12.75">
      <c r="A99" s="38"/>
      <c r="B99" s="209" t="s">
        <v>56</v>
      </c>
      <c r="C99" s="210">
        <v>5</v>
      </c>
      <c r="D99" s="210">
        <v>0.5</v>
      </c>
    </row>
    <row r="100" spans="1:4" ht="12.75">
      <c r="A100" s="38"/>
      <c r="B100" s="209" t="s">
        <v>57</v>
      </c>
      <c r="C100" s="210">
        <v>6</v>
      </c>
      <c r="D100" s="210">
        <v>0.75</v>
      </c>
    </row>
    <row r="101" spans="1:4" ht="12.75">
      <c r="A101" s="38"/>
      <c r="B101" s="209" t="s">
        <v>58</v>
      </c>
      <c r="C101" s="210">
        <v>7</v>
      </c>
      <c r="D101" s="210">
        <v>0.9</v>
      </c>
    </row>
    <row r="102" spans="1:4" ht="12.75">
      <c r="A102" s="38"/>
      <c r="B102" s="209" t="s">
        <v>59</v>
      </c>
      <c r="C102" s="210">
        <v>8</v>
      </c>
      <c r="D102" s="210">
        <v>0.95</v>
      </c>
    </row>
    <row r="103" spans="1:4" ht="12.75">
      <c r="A103" s="38"/>
      <c r="B103" s="234"/>
      <c r="C103" s="234"/>
      <c r="D103" s="234"/>
    </row>
    <row r="104" spans="1:4" ht="12.75">
      <c r="A104" s="38"/>
      <c r="B104" s="214" t="s">
        <v>69</v>
      </c>
      <c r="C104" s="215" t="s">
        <v>97</v>
      </c>
      <c r="D104" s="215" t="s">
        <v>112</v>
      </c>
    </row>
    <row r="105" spans="1:4" ht="12.75">
      <c r="A105" s="38"/>
      <c r="B105" s="214"/>
      <c r="C105" s="215"/>
      <c r="D105" s="215"/>
    </row>
    <row r="106" spans="1:4" ht="12.75">
      <c r="A106" s="38"/>
      <c r="B106" s="216" t="s">
        <v>123</v>
      </c>
      <c r="C106" s="208">
        <v>1</v>
      </c>
      <c r="D106" s="208">
        <v>0</v>
      </c>
    </row>
    <row r="107" spans="1:4" ht="12.75">
      <c r="A107" s="38"/>
      <c r="B107" s="209" t="s">
        <v>12</v>
      </c>
      <c r="C107" s="210">
        <v>2</v>
      </c>
      <c r="D107" s="210">
        <v>0</v>
      </c>
    </row>
    <row r="108" spans="1:4" ht="12.75">
      <c r="A108" s="38"/>
      <c r="B108" s="209" t="s">
        <v>102</v>
      </c>
      <c r="C108" s="210">
        <v>3</v>
      </c>
      <c r="D108" s="210">
        <v>5</v>
      </c>
    </row>
    <row r="109" spans="1:4" ht="12.75">
      <c r="A109" s="38"/>
      <c r="B109" s="209" t="s">
        <v>60</v>
      </c>
      <c r="C109" s="210">
        <v>4</v>
      </c>
      <c r="D109" s="210">
        <v>12.5</v>
      </c>
    </row>
    <row r="110" spans="1:4" ht="12.75">
      <c r="A110" s="38"/>
      <c r="B110" s="209" t="s">
        <v>151</v>
      </c>
      <c r="C110" s="210">
        <v>5</v>
      </c>
      <c r="D110" s="210">
        <v>25</v>
      </c>
    </row>
    <row r="111" spans="1:4" ht="12.75">
      <c r="A111" s="38"/>
      <c r="B111" s="209" t="s">
        <v>61</v>
      </c>
      <c r="C111" s="210">
        <v>6</v>
      </c>
      <c r="D111" s="210">
        <v>50</v>
      </c>
    </row>
    <row r="112" spans="1:4" ht="12.75">
      <c r="A112" s="38"/>
      <c r="B112" s="209" t="s">
        <v>62</v>
      </c>
      <c r="C112" s="210">
        <v>7</v>
      </c>
      <c r="D112" s="210">
        <v>100</v>
      </c>
    </row>
    <row r="113" spans="1:4" ht="12.75">
      <c r="A113" s="38"/>
      <c r="B113" s="234"/>
      <c r="C113" s="235"/>
      <c r="D113" s="235"/>
    </row>
    <row r="114" spans="1:4" ht="12.75">
      <c r="A114" s="38"/>
      <c r="B114" s="234"/>
      <c r="C114" s="235"/>
      <c r="D114" s="235"/>
    </row>
    <row r="115" spans="1:4" ht="12.75">
      <c r="A115" s="38"/>
      <c r="B115" s="234"/>
      <c r="C115" s="234"/>
      <c r="D115" s="234"/>
    </row>
    <row r="116" spans="1:4" ht="12.75">
      <c r="A116" s="35" t="s">
        <v>13</v>
      </c>
      <c r="B116" s="236" t="s">
        <v>70</v>
      </c>
      <c r="C116" s="237" t="s">
        <v>97</v>
      </c>
      <c r="D116" s="233" t="s">
        <v>116</v>
      </c>
    </row>
    <row r="117" spans="1:4" ht="12.75">
      <c r="A117" s="35"/>
      <c r="B117" s="238" t="s">
        <v>123</v>
      </c>
      <c r="C117" s="239">
        <v>1</v>
      </c>
      <c r="D117" s="227">
        <v>0</v>
      </c>
    </row>
    <row r="118" spans="1:4" ht="12.75">
      <c r="A118" s="32"/>
      <c r="B118" s="228" t="s">
        <v>98</v>
      </c>
      <c r="C118" s="229">
        <v>2</v>
      </c>
      <c r="D118" s="229">
        <v>0</v>
      </c>
    </row>
    <row r="119" spans="1:4" ht="12.75">
      <c r="A119" s="32"/>
      <c r="B119" s="228" t="s">
        <v>99</v>
      </c>
      <c r="C119" s="229">
        <v>3</v>
      </c>
      <c r="D119" s="229">
        <v>30</v>
      </c>
    </row>
    <row r="120" spans="1:4" ht="12.75">
      <c r="A120" s="32"/>
      <c r="B120" s="228" t="s">
        <v>100</v>
      </c>
      <c r="C120" s="229">
        <v>4</v>
      </c>
      <c r="D120" s="229">
        <v>60</v>
      </c>
    </row>
    <row r="121" spans="1:4" ht="12.75">
      <c r="A121" s="32"/>
      <c r="B121" s="228" t="s">
        <v>101</v>
      </c>
      <c r="C121" s="229">
        <v>5</v>
      </c>
      <c r="D121" s="229">
        <v>100</v>
      </c>
    </row>
    <row r="122" spans="1:4" ht="12.75">
      <c r="A122" s="32"/>
      <c r="B122" s="228" t="s">
        <v>152</v>
      </c>
      <c r="C122" s="229">
        <v>6</v>
      </c>
      <c r="D122" s="229">
        <f>10^9</f>
        <v>1000000000</v>
      </c>
    </row>
    <row r="123" spans="1:4" ht="12.75">
      <c r="A123" s="32"/>
      <c r="B123" s="240"/>
      <c r="C123" s="240"/>
      <c r="D123" s="240"/>
    </row>
    <row r="124" spans="1:8" ht="12.75">
      <c r="A124" s="33" t="s">
        <v>71</v>
      </c>
      <c r="B124" s="241" t="s">
        <v>71</v>
      </c>
      <c r="C124" s="242" t="s">
        <v>97</v>
      </c>
      <c r="D124" s="215" t="s">
        <v>117</v>
      </c>
      <c r="E124" s="389"/>
      <c r="F124" s="390" t="s">
        <v>341</v>
      </c>
      <c r="G124" s="389"/>
      <c r="H124" s="389"/>
    </row>
    <row r="125" spans="1:8" ht="12.75">
      <c r="A125" s="38"/>
      <c r="B125" s="243" t="s">
        <v>123</v>
      </c>
      <c r="C125" s="244">
        <v>1</v>
      </c>
      <c r="D125" s="208">
        <v>0</v>
      </c>
      <c r="E125" s="389">
        <v>0</v>
      </c>
      <c r="F125" s="390">
        <v>0</v>
      </c>
      <c r="G125" s="389">
        <v>0</v>
      </c>
      <c r="H125" s="389">
        <f>(F127-F126)/G127</f>
        <v>0.3333333333333333</v>
      </c>
    </row>
    <row r="126" spans="1:8" ht="12.75">
      <c r="A126" s="38"/>
      <c r="B126" s="245" t="s">
        <v>38</v>
      </c>
      <c r="C126" s="246">
        <v>2</v>
      </c>
      <c r="D126" s="246">
        <v>0</v>
      </c>
      <c r="E126" s="389">
        <v>1</v>
      </c>
      <c r="F126" s="390">
        <v>0</v>
      </c>
      <c r="G126" s="389">
        <v>2.5</v>
      </c>
      <c r="H126" s="389">
        <f>H125</f>
        <v>0.3333333333333333</v>
      </c>
    </row>
    <row r="127" spans="1:8" ht="12.75">
      <c r="A127" s="38"/>
      <c r="B127" s="245" t="s">
        <v>39</v>
      </c>
      <c r="C127" s="246">
        <v>3</v>
      </c>
      <c r="D127" s="246">
        <v>2.5</v>
      </c>
      <c r="E127" s="389">
        <v>2</v>
      </c>
      <c r="F127" s="390">
        <f>'User-specified Time value'!C15</f>
        <v>2.5</v>
      </c>
      <c r="G127" s="389">
        <v>7.5</v>
      </c>
      <c r="H127" s="389">
        <f>(F128-F127)/(G128-G127)</f>
        <v>0.3333333333333333</v>
      </c>
    </row>
    <row r="128" spans="1:8" ht="12.75">
      <c r="A128" s="38"/>
      <c r="B128" s="245" t="s">
        <v>40</v>
      </c>
      <c r="C128" s="246">
        <v>4</v>
      </c>
      <c r="D128" s="246">
        <v>5</v>
      </c>
      <c r="E128" s="389">
        <v>3</v>
      </c>
      <c r="F128" s="390">
        <f>'User-specified Time value'!C14</f>
        <v>5</v>
      </c>
      <c r="G128" s="389">
        <v>15</v>
      </c>
      <c r="H128" s="389">
        <f>(F129-F128)/(G129-G128)</f>
        <v>0.14285714285714285</v>
      </c>
    </row>
    <row r="129" spans="1:8" ht="12.75">
      <c r="A129" s="38"/>
      <c r="B129" s="245" t="s">
        <v>41</v>
      </c>
      <c r="C129" s="246">
        <v>5</v>
      </c>
      <c r="D129" s="246">
        <v>10</v>
      </c>
      <c r="E129" s="389">
        <v>4</v>
      </c>
      <c r="F129" s="390">
        <f>'User-specified Time value'!C13</f>
        <v>10</v>
      </c>
      <c r="G129" s="389">
        <v>50</v>
      </c>
      <c r="H129" s="389">
        <f>(F130-F129)/(G130-G129)</f>
        <v>0.2</v>
      </c>
    </row>
    <row r="130" spans="1:8" ht="12.75">
      <c r="A130" s="38"/>
      <c r="B130" s="245" t="s">
        <v>42</v>
      </c>
      <c r="C130" s="246">
        <v>6</v>
      </c>
      <c r="D130" s="246">
        <v>20</v>
      </c>
      <c r="E130" s="389">
        <v>5</v>
      </c>
      <c r="F130" s="390">
        <f>'User-specified Time value'!C12</f>
        <v>20</v>
      </c>
      <c r="G130" s="389">
        <v>100</v>
      </c>
      <c r="H130" s="389">
        <f>(F131-F130)/(G131-G130)</f>
        <v>0.2</v>
      </c>
    </row>
    <row r="131" spans="1:8" ht="12.75">
      <c r="A131" s="38"/>
      <c r="B131" s="245" t="s">
        <v>43</v>
      </c>
      <c r="C131" s="246">
        <v>7</v>
      </c>
      <c r="D131" s="246">
        <v>100</v>
      </c>
      <c r="E131" s="389">
        <v>6</v>
      </c>
      <c r="F131" s="390">
        <v>100</v>
      </c>
      <c r="G131" s="389">
        <v>500</v>
      </c>
      <c r="H131" s="389">
        <f>(F132-F131)/(G132-G131)</f>
        <v>0.2</v>
      </c>
    </row>
    <row r="132" spans="1:6" ht="12.75">
      <c r="A132" s="38"/>
      <c r="B132" s="245" t="s">
        <v>203</v>
      </c>
      <c r="C132" s="246">
        <v>8</v>
      </c>
      <c r="D132" s="246"/>
      <c r="E132" s="122"/>
      <c r="F132" s="122"/>
    </row>
    <row r="133" spans="1:4" ht="12.75">
      <c r="A133" s="38"/>
      <c r="B133" s="234"/>
      <c r="C133" s="234"/>
      <c r="D133" s="234"/>
    </row>
    <row r="134" spans="1:4" ht="12.75">
      <c r="A134" s="12" t="s">
        <v>0</v>
      </c>
      <c r="B134" s="236" t="s">
        <v>167</v>
      </c>
      <c r="C134" s="237" t="s">
        <v>97</v>
      </c>
      <c r="D134" s="240"/>
    </row>
    <row r="135" spans="1:4" ht="12.75">
      <c r="A135" s="32"/>
      <c r="B135" s="238"/>
      <c r="C135" s="239"/>
      <c r="D135" s="227"/>
    </row>
    <row r="136" spans="1:4" ht="12.75">
      <c r="A136" s="32"/>
      <c r="B136" s="247" t="s">
        <v>213</v>
      </c>
      <c r="C136" s="248">
        <v>1</v>
      </c>
      <c r="D136" s="316">
        <v>0.95</v>
      </c>
    </row>
    <row r="137" spans="1:4" ht="12.75">
      <c r="A137" s="32"/>
      <c r="B137" s="249" t="s">
        <v>212</v>
      </c>
      <c r="C137" s="248">
        <v>2</v>
      </c>
      <c r="D137" s="316">
        <v>0.9</v>
      </c>
    </row>
    <row r="138" spans="1:4" ht="12.75">
      <c r="A138" s="32"/>
      <c r="B138" s="249" t="s">
        <v>214</v>
      </c>
      <c r="C138" s="248">
        <v>3</v>
      </c>
      <c r="D138" s="316">
        <v>0.75</v>
      </c>
    </row>
    <row r="139" spans="1:4" ht="12.75">
      <c r="A139" s="32"/>
      <c r="B139" s="249" t="s">
        <v>215</v>
      </c>
      <c r="C139" s="248">
        <v>4</v>
      </c>
      <c r="D139" s="316">
        <v>0.5</v>
      </c>
    </row>
    <row r="140" spans="1:4" ht="12.75">
      <c r="A140" s="32"/>
      <c r="B140" s="240"/>
      <c r="C140" s="240"/>
      <c r="D140" s="317"/>
    </row>
    <row r="141" spans="1:4" ht="12.75">
      <c r="A141" s="32"/>
      <c r="B141" s="236" t="s">
        <v>168</v>
      </c>
      <c r="C141" s="240"/>
      <c r="D141" s="317"/>
    </row>
    <row r="142" spans="1:4" ht="12.75">
      <c r="A142" s="32"/>
      <c r="B142" s="238"/>
      <c r="C142" s="240"/>
      <c r="D142" s="317"/>
    </row>
    <row r="143" spans="1:4" ht="12.75">
      <c r="A143" s="32"/>
      <c r="B143" s="249" t="s">
        <v>218</v>
      </c>
      <c r="C143" s="250">
        <v>1</v>
      </c>
      <c r="D143" s="316">
        <v>1.05</v>
      </c>
    </row>
    <row r="144" spans="1:4" ht="12.75">
      <c r="A144" s="32"/>
      <c r="B144" s="249" t="s">
        <v>219</v>
      </c>
      <c r="C144" s="250">
        <v>2</v>
      </c>
      <c r="D144" s="316">
        <v>1.1</v>
      </c>
    </row>
    <row r="145" spans="1:4" ht="12.75">
      <c r="A145" s="32"/>
      <c r="B145" s="249" t="s">
        <v>221</v>
      </c>
      <c r="C145" s="250">
        <v>3</v>
      </c>
      <c r="D145" s="316">
        <v>1.25</v>
      </c>
    </row>
    <row r="146" spans="1:4" ht="12.75">
      <c r="A146" s="32"/>
      <c r="B146" s="249" t="s">
        <v>220</v>
      </c>
      <c r="C146" s="250">
        <v>4</v>
      </c>
      <c r="D146" s="316">
        <v>1.5</v>
      </c>
    </row>
    <row r="147" spans="1:4" ht="12.75">
      <c r="A147" s="32"/>
      <c r="B147" s="249" t="s">
        <v>222</v>
      </c>
      <c r="C147" s="250">
        <v>5</v>
      </c>
      <c r="D147" s="316">
        <v>2</v>
      </c>
    </row>
    <row r="148" spans="1:4" ht="12.75">
      <c r="A148" s="32"/>
      <c r="B148" s="251" t="s">
        <v>223</v>
      </c>
      <c r="C148" s="252">
        <v>6</v>
      </c>
      <c r="D148" s="318">
        <v>3</v>
      </c>
    </row>
    <row r="151" ht="12.75">
      <c r="B151" s="128" t="s">
        <v>200</v>
      </c>
    </row>
    <row r="152" spans="2:5" ht="12.75">
      <c r="B152" s="164" t="s">
        <v>275</v>
      </c>
      <c r="E152" s="133"/>
    </row>
    <row r="153" ht="12.75">
      <c r="B153" s="132" t="s">
        <v>193</v>
      </c>
    </row>
    <row r="154" ht="12.75">
      <c r="B154" s="131"/>
    </row>
    <row r="155" ht="12.75">
      <c r="B155" s="128" t="s">
        <v>199</v>
      </c>
    </row>
    <row r="156" ht="12.75">
      <c r="B156" s="132" t="s">
        <v>195</v>
      </c>
    </row>
    <row r="157" ht="12.75">
      <c r="B157" s="132" t="s">
        <v>196</v>
      </c>
    </row>
    <row r="158" ht="12.75">
      <c r="B158" s="262" t="s">
        <v>282</v>
      </c>
    </row>
    <row r="159" ht="12.75">
      <c r="B159" s="132" t="s">
        <v>197</v>
      </c>
    </row>
    <row r="160" ht="12.75">
      <c r="B160" s="132" t="s">
        <v>198</v>
      </c>
    </row>
    <row r="161" ht="12.75">
      <c r="B161" s="164" t="s">
        <v>204</v>
      </c>
    </row>
    <row r="162" ht="12.75">
      <c r="B162" s="132"/>
    </row>
    <row r="163" ht="12.75">
      <c r="B163" s="128" t="s">
        <v>201</v>
      </c>
    </row>
    <row r="164" ht="12.75">
      <c r="B164" s="132" t="s">
        <v>188</v>
      </c>
    </row>
    <row r="167" ht="12.75">
      <c r="A167" s="39" t="s">
        <v>308</v>
      </c>
    </row>
    <row r="169" spans="1:3" ht="12.75">
      <c r="A169" s="39" t="s">
        <v>307</v>
      </c>
      <c r="B169" s="39" t="s">
        <v>309</v>
      </c>
      <c r="C169" s="39">
        <v>1</v>
      </c>
    </row>
    <row r="170" spans="2:3" ht="12.75">
      <c r="B170" s="398" t="s">
        <v>357</v>
      </c>
      <c r="C170" s="39">
        <v>2</v>
      </c>
    </row>
    <row r="171" spans="1:3" ht="12.75">
      <c r="A171" s="39" t="s">
        <v>310</v>
      </c>
      <c r="B171" s="39" t="s">
        <v>311</v>
      </c>
      <c r="C171" s="39">
        <v>1</v>
      </c>
    </row>
    <row r="172" spans="2:3" ht="12.75">
      <c r="B172" s="39" t="s">
        <v>312</v>
      </c>
      <c r="C172" s="39">
        <v>2</v>
      </c>
    </row>
    <row r="173" spans="2:3" ht="12.75">
      <c r="B173" s="39" t="s">
        <v>313</v>
      </c>
      <c r="C173" s="39">
        <v>3</v>
      </c>
    </row>
    <row r="174" spans="2:3" ht="12.75">
      <c r="B174" s="39" t="s">
        <v>314</v>
      </c>
      <c r="C174" s="39">
        <v>4</v>
      </c>
    </row>
  </sheetData>
  <sheetProtection/>
  <mergeCells count="1">
    <mergeCell ref="A82:A85"/>
  </mergeCells>
  <printOptions horizontalCentered="1"/>
  <pageMargins left="0.75" right="0.75" top="1" bottom="1" header="0.5" footer="0.5"/>
  <pageSetup fitToHeight="2" horizontalDpi="300" verticalDpi="300" orientation="portrait" scale="47" r:id="rId2"/>
  <headerFooter alignWithMargins="0">
    <oddHeader>&amp;C&amp;A</oddHeader>
  </headerFooter>
  <rowBreaks count="1" manualBreakCount="1">
    <brk id="79" max="3" man="1"/>
  </rowBreaks>
  <drawing r:id="rId1"/>
</worksheet>
</file>

<file path=xl/worksheets/sheet6.xml><?xml version="1.0" encoding="utf-8"?>
<worksheet xmlns="http://schemas.openxmlformats.org/spreadsheetml/2006/main" xmlns:r="http://schemas.openxmlformats.org/officeDocument/2006/relationships">
  <sheetPr codeName="Sheet22">
    <tabColor indexed="45"/>
  </sheetPr>
  <dimension ref="A6:L29"/>
  <sheetViews>
    <sheetView workbookViewId="0" topLeftCell="B1">
      <selection activeCell="AX1" sqref="AX1"/>
    </sheetView>
  </sheetViews>
  <sheetFormatPr defaultColWidth="9.140625" defaultRowHeight="12.75" zeroHeight="1"/>
  <cols>
    <col min="1" max="1" width="24.28125" style="0" bestFit="1" customWidth="1"/>
    <col min="2" max="2" width="56.28125" style="0" customWidth="1"/>
    <col min="3" max="4" width="11.7109375" style="0" customWidth="1"/>
    <col min="5" max="5" width="14.140625" style="0" customWidth="1"/>
    <col min="6" max="6" width="17.28125" style="0" customWidth="1"/>
    <col min="7" max="7" width="13.421875" style="0" customWidth="1"/>
  </cols>
  <sheetData>
    <row r="1" ht="12.75"/>
    <row r="2" ht="12.75"/>
    <row r="3" ht="12.75"/>
    <row r="4" ht="12.75"/>
    <row r="5" ht="12.75"/>
    <row r="6" spans="1:7" ht="25.5">
      <c r="A6" s="2" t="s">
        <v>136</v>
      </c>
      <c r="B6" s="3" t="s">
        <v>137</v>
      </c>
      <c r="C6" s="3" t="s">
        <v>143</v>
      </c>
      <c r="D6" s="3" t="s">
        <v>142</v>
      </c>
      <c r="E6" s="3" t="s">
        <v>144</v>
      </c>
      <c r="F6" s="6" t="s">
        <v>145</v>
      </c>
      <c r="G6" s="3" t="s">
        <v>146</v>
      </c>
    </row>
    <row r="7" spans="1:12" ht="12.75">
      <c r="A7" t="s">
        <v>264</v>
      </c>
      <c r="B7" s="1" t="s">
        <v>141</v>
      </c>
      <c r="C7" s="5">
        <v>2</v>
      </c>
      <c r="D7" s="5">
        <v>25</v>
      </c>
      <c r="E7" s="50">
        <f aca="true" t="shared" si="0" ref="E7:E12">D7/SUM($D$7:$D$12)</f>
        <v>0.23255813953488372</v>
      </c>
      <c r="F7" s="48">
        <v>91</v>
      </c>
      <c r="G7">
        <f aca="true" t="shared" si="1" ref="G7:G12">E7*(100/F7)</f>
        <v>0.2555583950932788</v>
      </c>
      <c r="H7" t="s">
        <v>156</v>
      </c>
      <c r="I7">
        <f aca="true" t="shared" si="2" ref="I7:I12">D7/MAX(D$7:D$12)</f>
        <v>1</v>
      </c>
      <c r="J7">
        <f aca="true" t="shared" si="3" ref="J7:J12">I7/F7</f>
        <v>0.01098901098901099</v>
      </c>
      <c r="K7">
        <f aca="true" t="shared" si="4" ref="K7:K12">D7/MIN(D$7:D$12)</f>
        <v>2.5</v>
      </c>
      <c r="L7">
        <f aca="true" t="shared" si="5" ref="L7:L12">K7/F7</f>
        <v>0.027472527472527472</v>
      </c>
    </row>
    <row r="8" spans="1:12" ht="12.75">
      <c r="A8" t="s">
        <v>265</v>
      </c>
      <c r="B8" s="1" t="s">
        <v>141</v>
      </c>
      <c r="C8" s="5">
        <v>2</v>
      </c>
      <c r="D8" s="5">
        <v>25</v>
      </c>
      <c r="E8" s="50">
        <f t="shared" si="0"/>
        <v>0.23255813953488372</v>
      </c>
      <c r="F8" s="48">
        <v>91</v>
      </c>
      <c r="G8">
        <f>G7</f>
        <v>0.2555583950932788</v>
      </c>
      <c r="H8" t="s">
        <v>156</v>
      </c>
      <c r="I8">
        <f t="shared" si="2"/>
        <v>1</v>
      </c>
      <c r="J8">
        <f t="shared" si="3"/>
        <v>0.01098901098901099</v>
      </c>
      <c r="K8">
        <f t="shared" si="4"/>
        <v>2.5</v>
      </c>
      <c r="L8">
        <f t="shared" si="5"/>
        <v>0.027472527472527472</v>
      </c>
    </row>
    <row r="9" spans="1:12" ht="12.75">
      <c r="A9" t="s">
        <v>138</v>
      </c>
      <c r="B9" s="1" t="s">
        <v>267</v>
      </c>
      <c r="C9" s="5">
        <v>3</v>
      </c>
      <c r="D9" s="5">
        <v>12.5</v>
      </c>
      <c r="E9" s="50">
        <f t="shared" si="0"/>
        <v>0.11627906976744186</v>
      </c>
      <c r="F9" s="48">
        <v>22.5</v>
      </c>
      <c r="G9">
        <f t="shared" si="1"/>
        <v>0.516795865633075</v>
      </c>
      <c r="H9" t="s">
        <v>157</v>
      </c>
      <c r="I9">
        <f t="shared" si="2"/>
        <v>0.5</v>
      </c>
      <c r="J9">
        <f t="shared" si="3"/>
        <v>0.022222222222222223</v>
      </c>
      <c r="K9">
        <f t="shared" si="4"/>
        <v>1.25</v>
      </c>
      <c r="L9">
        <f t="shared" si="5"/>
        <v>0.05555555555555555</v>
      </c>
    </row>
    <row r="10" spans="1:12" ht="12.75">
      <c r="A10" t="s">
        <v>139</v>
      </c>
      <c r="B10" s="1" t="s">
        <v>262</v>
      </c>
      <c r="C10" s="5">
        <v>4</v>
      </c>
      <c r="D10" s="5">
        <v>10</v>
      </c>
      <c r="E10" s="50">
        <f t="shared" si="0"/>
        <v>0.09302325581395349</v>
      </c>
      <c r="F10" s="48">
        <v>100</v>
      </c>
      <c r="G10">
        <f t="shared" si="1"/>
        <v>0.09302325581395349</v>
      </c>
      <c r="H10" t="s">
        <v>158</v>
      </c>
      <c r="I10">
        <f t="shared" si="2"/>
        <v>0.4</v>
      </c>
      <c r="J10">
        <f t="shared" si="3"/>
        <v>0.004</v>
      </c>
      <c r="K10">
        <f t="shared" si="4"/>
        <v>1</v>
      </c>
      <c r="L10">
        <f t="shared" si="5"/>
        <v>0.01</v>
      </c>
    </row>
    <row r="11" spans="1:12" ht="12.75">
      <c r="A11" t="s">
        <v>71</v>
      </c>
      <c r="B11" s="1" t="s">
        <v>263</v>
      </c>
      <c r="C11" s="5">
        <v>1</v>
      </c>
      <c r="D11" s="5">
        <v>10</v>
      </c>
      <c r="E11" s="50">
        <f t="shared" si="0"/>
        <v>0.09302325581395349</v>
      </c>
      <c r="F11" s="48">
        <v>20</v>
      </c>
      <c r="G11">
        <f t="shared" si="1"/>
        <v>0.46511627906976744</v>
      </c>
      <c r="H11" t="s">
        <v>159</v>
      </c>
      <c r="I11">
        <f t="shared" si="2"/>
        <v>0.4</v>
      </c>
      <c r="J11">
        <f t="shared" si="3"/>
        <v>0.02</v>
      </c>
      <c r="K11">
        <f t="shared" si="4"/>
        <v>1</v>
      </c>
      <c r="L11">
        <f t="shared" si="5"/>
        <v>0.05</v>
      </c>
    </row>
    <row r="12" spans="1:12" ht="12.75">
      <c r="A12" t="s">
        <v>129</v>
      </c>
      <c r="B12" s="1" t="s">
        <v>140</v>
      </c>
      <c r="C12" s="5">
        <v>2</v>
      </c>
      <c r="D12" s="5">
        <v>25</v>
      </c>
      <c r="E12" s="50">
        <f t="shared" si="0"/>
        <v>0.23255813953488372</v>
      </c>
      <c r="F12" s="7">
        <v>100</v>
      </c>
      <c r="G12">
        <f t="shared" si="1"/>
        <v>0.23255813953488372</v>
      </c>
      <c r="I12">
        <f t="shared" si="2"/>
        <v>1</v>
      </c>
      <c r="J12">
        <f t="shared" si="3"/>
        <v>0.01</v>
      </c>
      <c r="K12">
        <f t="shared" si="4"/>
        <v>2.5</v>
      </c>
      <c r="L12">
        <f t="shared" si="5"/>
        <v>0.025</v>
      </c>
    </row>
    <row r="13" ht="12.75">
      <c r="E13" s="51">
        <f>SUM(E7:E12)</f>
        <v>1</v>
      </c>
    </row>
    <row r="14" ht="12.75">
      <c r="E14" s="9"/>
    </row>
    <row r="15" spans="1:8" ht="12.75">
      <c r="A15" t="s">
        <v>264</v>
      </c>
      <c r="B15" s="1" t="s">
        <v>141</v>
      </c>
      <c r="C15" s="5">
        <v>1</v>
      </c>
      <c r="D15" s="5">
        <v>250</v>
      </c>
      <c r="E15" s="50">
        <f aca="true" t="shared" si="6" ref="E15:E20">D15/SUM($D$15:$D$20)</f>
        <v>0.373134328358209</v>
      </c>
      <c r="F15" s="48">
        <v>91</v>
      </c>
      <c r="G15">
        <f aca="true" t="shared" si="7" ref="G15:G20">E15*(100/F15)</f>
        <v>0.41003772347055933</v>
      </c>
      <c r="H15" t="s">
        <v>156</v>
      </c>
    </row>
    <row r="16" spans="1:8" ht="12.75">
      <c r="A16" t="s">
        <v>265</v>
      </c>
      <c r="B16" s="1" t="s">
        <v>141</v>
      </c>
      <c r="C16" s="5">
        <v>1</v>
      </c>
      <c r="D16" s="5">
        <v>250</v>
      </c>
      <c r="E16" s="50">
        <f t="shared" si="6"/>
        <v>0.373134328358209</v>
      </c>
      <c r="F16" s="48">
        <v>91</v>
      </c>
      <c r="G16">
        <f t="shared" si="7"/>
        <v>0.41003772347055933</v>
      </c>
      <c r="H16" t="s">
        <v>156</v>
      </c>
    </row>
    <row r="17" spans="1:8" ht="12.75">
      <c r="A17" t="s">
        <v>138</v>
      </c>
      <c r="B17" s="1" t="s">
        <v>267</v>
      </c>
      <c r="C17" s="5">
        <v>3</v>
      </c>
      <c r="D17" s="5">
        <v>125</v>
      </c>
      <c r="E17" s="50">
        <f t="shared" si="6"/>
        <v>0.1865671641791045</v>
      </c>
      <c r="F17" s="48">
        <v>22.5</v>
      </c>
      <c r="G17">
        <f t="shared" si="7"/>
        <v>0.8291873963515756</v>
      </c>
      <c r="H17" t="s">
        <v>157</v>
      </c>
    </row>
    <row r="18" spans="1:8" ht="12.75">
      <c r="A18" t="s">
        <v>139</v>
      </c>
      <c r="B18" s="1" t="s">
        <v>262</v>
      </c>
      <c r="C18" s="5">
        <v>4</v>
      </c>
      <c r="D18" s="5">
        <v>10</v>
      </c>
      <c r="E18" s="50">
        <f t="shared" si="6"/>
        <v>0.014925373134328358</v>
      </c>
      <c r="F18" s="48">
        <v>100</v>
      </c>
      <c r="G18">
        <f t="shared" si="7"/>
        <v>0.014925373134328358</v>
      </c>
      <c r="H18" t="s">
        <v>158</v>
      </c>
    </row>
    <row r="19" spans="1:8" ht="12.75">
      <c r="A19" t="s">
        <v>71</v>
      </c>
      <c r="B19" s="1" t="s">
        <v>263</v>
      </c>
      <c r="C19" s="5">
        <v>2</v>
      </c>
      <c r="D19" s="5">
        <v>10</v>
      </c>
      <c r="E19" s="50">
        <f t="shared" si="6"/>
        <v>0.014925373134328358</v>
      </c>
      <c r="F19" s="48">
        <v>20</v>
      </c>
      <c r="G19">
        <f t="shared" si="7"/>
        <v>0.07462686567164178</v>
      </c>
      <c r="H19" t="s">
        <v>159</v>
      </c>
    </row>
    <row r="20" spans="1:7" ht="12.75">
      <c r="A20" t="s">
        <v>129</v>
      </c>
      <c r="B20" s="1" t="s">
        <v>140</v>
      </c>
      <c r="C20" s="5">
        <v>3</v>
      </c>
      <c r="D20" s="5">
        <v>25</v>
      </c>
      <c r="E20" s="50">
        <f t="shared" si="6"/>
        <v>0.03731343283582089</v>
      </c>
      <c r="F20" s="7">
        <v>100</v>
      </c>
      <c r="G20">
        <f t="shared" si="7"/>
        <v>0.03731343283582089</v>
      </c>
    </row>
    <row r="21" ht="12.75">
      <c r="E21" s="51">
        <f>SUM(E15:E20)</f>
        <v>1</v>
      </c>
    </row>
    <row r="22" ht="12.75">
      <c r="E22" s="9"/>
    </row>
    <row r="23" spans="1:8" ht="12.75">
      <c r="A23" t="s">
        <v>264</v>
      </c>
      <c r="B23" s="1" t="s">
        <v>141</v>
      </c>
      <c r="C23" s="5">
        <v>2</v>
      </c>
      <c r="D23" s="5">
        <v>25</v>
      </c>
      <c r="E23" s="50">
        <f aca="true" t="shared" si="8" ref="E23:E28">D23/SUM($D$23:$D$28)</f>
        <v>0.13333333333333333</v>
      </c>
      <c r="F23" s="48">
        <v>91</v>
      </c>
      <c r="G23">
        <f aca="true" t="shared" si="9" ref="G23:G28">E23*(100/F23)</f>
        <v>0.14652014652014653</v>
      </c>
      <c r="H23" t="s">
        <v>156</v>
      </c>
    </row>
    <row r="24" spans="1:8" ht="12.75">
      <c r="A24" t="s">
        <v>265</v>
      </c>
      <c r="B24" s="1" t="s">
        <v>141</v>
      </c>
      <c r="C24" s="5">
        <v>2</v>
      </c>
      <c r="D24" s="5">
        <v>25</v>
      </c>
      <c r="E24" s="50">
        <f t="shared" si="8"/>
        <v>0.13333333333333333</v>
      </c>
      <c r="F24" s="48">
        <v>91</v>
      </c>
      <c r="G24">
        <f t="shared" si="9"/>
        <v>0.14652014652014653</v>
      </c>
      <c r="H24" t="s">
        <v>156</v>
      </c>
    </row>
    <row r="25" spans="1:8" ht="12.75">
      <c r="A25" t="s">
        <v>138</v>
      </c>
      <c r="B25" s="1" t="s">
        <v>267</v>
      </c>
      <c r="C25" s="5">
        <v>3</v>
      </c>
      <c r="D25" s="5">
        <v>12.5</v>
      </c>
      <c r="E25" s="50">
        <f t="shared" si="8"/>
        <v>0.06666666666666667</v>
      </c>
      <c r="F25" s="48">
        <v>22.5</v>
      </c>
      <c r="G25">
        <f t="shared" si="9"/>
        <v>0.2962962962962963</v>
      </c>
      <c r="H25" t="s">
        <v>157</v>
      </c>
    </row>
    <row r="26" spans="1:8" ht="12.75">
      <c r="A26" t="s">
        <v>139</v>
      </c>
      <c r="B26" s="1" t="s">
        <v>262</v>
      </c>
      <c r="C26" s="5">
        <v>2</v>
      </c>
      <c r="D26" s="5">
        <v>50</v>
      </c>
      <c r="E26" s="50">
        <f t="shared" si="8"/>
        <v>0.26666666666666666</v>
      </c>
      <c r="F26" s="48">
        <v>100</v>
      </c>
      <c r="G26">
        <f t="shared" si="9"/>
        <v>0.26666666666666666</v>
      </c>
      <c r="H26" t="s">
        <v>158</v>
      </c>
    </row>
    <row r="27" spans="1:8" ht="12.75">
      <c r="A27" t="s">
        <v>71</v>
      </c>
      <c r="B27" s="1" t="s">
        <v>263</v>
      </c>
      <c r="C27" s="5">
        <v>1</v>
      </c>
      <c r="D27" s="5">
        <v>50</v>
      </c>
      <c r="E27" s="50">
        <f t="shared" si="8"/>
        <v>0.26666666666666666</v>
      </c>
      <c r="F27" s="48">
        <v>20</v>
      </c>
      <c r="G27">
        <f t="shared" si="9"/>
        <v>1.3333333333333333</v>
      </c>
      <c r="H27" t="s">
        <v>159</v>
      </c>
    </row>
    <row r="28" spans="1:7" ht="12.75">
      <c r="A28" t="s">
        <v>129</v>
      </c>
      <c r="B28" s="1" t="s">
        <v>140</v>
      </c>
      <c r="C28" s="5">
        <v>2</v>
      </c>
      <c r="D28" s="5">
        <v>25</v>
      </c>
      <c r="E28" s="50">
        <f t="shared" si="8"/>
        <v>0.13333333333333333</v>
      </c>
      <c r="F28" s="7">
        <v>100</v>
      </c>
      <c r="G28">
        <f t="shared" si="9"/>
        <v>0.13333333333333333</v>
      </c>
    </row>
    <row r="29" ht="12.75">
      <c r="E29" s="51">
        <f>SUM(E23:E28)</f>
        <v>1</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tabColor indexed="45"/>
    <pageSetUpPr fitToPage="1"/>
  </sheetPr>
  <dimension ref="A1:BH180"/>
  <sheetViews>
    <sheetView zoomScale="85" zoomScaleNormal="85" workbookViewId="0" topLeftCell="A1">
      <pane xSplit="1" ySplit="3" topLeftCell="B65536" activePane="bottomRight" state="frozen"/>
      <selection pane="topLeft" activeCell="A1" sqref="A1"/>
      <selection pane="topRight" activeCell="B1" sqref="B1"/>
      <selection pane="bottomLeft" activeCell="A4" sqref="A4"/>
      <selection pane="bottomRight" activeCell="A27" sqref="A27"/>
    </sheetView>
  </sheetViews>
  <sheetFormatPr defaultColWidth="9.140625" defaultRowHeight="12.75" zeroHeight="1"/>
  <cols>
    <col min="1" max="1" width="49.7109375" style="70" bestFit="1" customWidth="1"/>
    <col min="2" max="2" width="12.28125" style="10" customWidth="1"/>
    <col min="3" max="3" width="12.7109375" style="9" customWidth="1"/>
    <col min="4" max="4" width="9.28125" style="9" bestFit="1" customWidth="1"/>
    <col min="5" max="5" width="10.8515625" style="9" bestFit="1" customWidth="1"/>
    <col min="6" max="6" width="9.28125" style="9" bestFit="1" customWidth="1"/>
    <col min="7" max="7" width="11.7109375" style="357" customWidth="1"/>
    <col min="8" max="8" width="9.28125" style="9" bestFit="1" customWidth="1"/>
    <col min="9" max="9" width="9.421875" style="9" bestFit="1" customWidth="1"/>
    <col min="10" max="10" width="9.28125" style="9" bestFit="1" customWidth="1"/>
    <col min="11" max="11" width="10.421875" style="9" bestFit="1" customWidth="1"/>
    <col min="12" max="12" width="11.140625" style="9" customWidth="1"/>
    <col min="13" max="13" width="9.421875" style="9" bestFit="1" customWidth="1"/>
    <col min="14" max="14" width="13.421875" style="9" customWidth="1"/>
    <col min="15" max="15" width="10.140625" style="9" customWidth="1"/>
    <col min="16" max="16" width="21.140625" style="9" customWidth="1"/>
    <col min="17" max="17" width="13.57421875" style="9" customWidth="1"/>
    <col min="18" max="18" width="13.7109375" style="9" customWidth="1"/>
    <col min="19" max="19" width="9.28125" style="9" bestFit="1" customWidth="1"/>
    <col min="20" max="20" width="13.8515625" style="9" customWidth="1"/>
    <col min="21" max="21" width="9.28125" style="9" bestFit="1" customWidth="1"/>
    <col min="22" max="22" width="11.421875" style="9" customWidth="1"/>
    <col min="23" max="23" width="15.140625" style="9" bestFit="1" customWidth="1"/>
    <col min="24" max="24" width="10.8515625" style="9" bestFit="1" customWidth="1"/>
    <col min="25" max="25" width="11.8515625" style="9" bestFit="1" customWidth="1"/>
    <col min="26" max="28" width="9.28125" style="9" bestFit="1" customWidth="1"/>
    <col min="29" max="32" width="9.28125" style="9" customWidth="1"/>
    <col min="33" max="44" width="9.28125" style="9" bestFit="1" customWidth="1"/>
    <col min="45" max="45" width="11.28125" style="9" bestFit="1" customWidth="1"/>
    <col min="46" max="46" width="9.28125" style="9" bestFit="1" customWidth="1"/>
    <col min="47" max="47" width="8.7109375" style="9" bestFit="1" customWidth="1"/>
    <col min="48" max="48" width="9.28125" style="9" bestFit="1" customWidth="1"/>
    <col min="49" max="49" width="14.57421875" style="8" bestFit="1" customWidth="1"/>
    <col min="50" max="50" width="10.57421875" style="0" bestFit="1" customWidth="1"/>
    <col min="51" max="52" width="10.57421875" style="0" customWidth="1"/>
    <col min="53" max="53" width="12.7109375" style="0" bestFit="1" customWidth="1"/>
    <col min="54" max="54" width="9.28125" style="4" bestFit="1" customWidth="1"/>
    <col min="55" max="59" width="9.140625" style="4" customWidth="1"/>
    <col min="60" max="60" width="11.28125" style="4" bestFit="1" customWidth="1"/>
    <col min="61" max="16384" width="0" style="4" hidden="1" customWidth="1"/>
  </cols>
  <sheetData>
    <row r="1" spans="1:60" ht="12.75">
      <c r="A1" s="71" t="s">
        <v>172</v>
      </c>
      <c r="B1" s="483" t="s">
        <v>163</v>
      </c>
      <c r="C1" s="489"/>
      <c r="D1" s="489"/>
      <c r="E1" s="489"/>
      <c r="F1" s="489"/>
      <c r="G1" s="489"/>
      <c r="H1" s="489"/>
      <c r="I1" s="489"/>
      <c r="J1" s="489"/>
      <c r="K1" s="489"/>
      <c r="L1" s="489"/>
      <c r="M1" s="489"/>
      <c r="N1" s="489"/>
      <c r="O1" s="489"/>
      <c r="P1" s="489"/>
      <c r="Q1" s="489"/>
      <c r="R1" s="489"/>
      <c r="S1" s="489"/>
      <c r="T1" s="489"/>
      <c r="U1" s="489"/>
      <c r="V1" s="447" t="s">
        <v>164</v>
      </c>
      <c r="W1" s="448"/>
      <c r="X1" s="448"/>
      <c r="Y1" s="483" t="s">
        <v>78</v>
      </c>
      <c r="Z1" s="484"/>
      <c r="AA1" s="484"/>
      <c r="AB1" s="484"/>
      <c r="AC1" s="484"/>
      <c r="AD1" s="484"/>
      <c r="AE1" s="484"/>
      <c r="AF1" s="484"/>
      <c r="AG1" s="484"/>
      <c r="AH1" s="484"/>
      <c r="AI1" s="484"/>
      <c r="AJ1" s="484"/>
      <c r="AK1" s="484"/>
      <c r="AL1" s="484"/>
      <c r="AM1" s="484"/>
      <c r="AN1" s="484"/>
      <c r="AO1" s="484"/>
      <c r="AP1" s="484"/>
      <c r="AQ1" s="21" t="s">
        <v>16</v>
      </c>
      <c r="AR1" s="19" t="s">
        <v>86</v>
      </c>
      <c r="AS1" s="486" t="s">
        <v>81</v>
      </c>
      <c r="AT1" s="487"/>
      <c r="AU1" s="487"/>
      <c r="AV1" s="488"/>
      <c r="AW1" s="261"/>
      <c r="AX1" s="261"/>
      <c r="AY1" s="14"/>
      <c r="AZ1" s="14"/>
      <c r="BA1" s="14"/>
      <c r="BB1" s="14"/>
      <c r="BC1" s="14"/>
      <c r="BD1" s="14"/>
      <c r="BE1" s="14"/>
      <c r="BF1" s="14"/>
      <c r="BG1" s="14"/>
      <c r="BH1" s="14"/>
    </row>
    <row r="2" spans="1:60" ht="12.75">
      <c r="A2" s="11"/>
      <c r="B2" s="481" t="s">
        <v>22</v>
      </c>
      <c r="C2" s="490"/>
      <c r="D2" s="490"/>
      <c r="E2" s="490"/>
      <c r="F2" s="490"/>
      <c r="G2" s="481" t="s">
        <v>90</v>
      </c>
      <c r="H2" s="490"/>
      <c r="I2" s="490"/>
      <c r="J2" s="490"/>
      <c r="K2" s="491"/>
      <c r="L2" s="481" t="s">
        <v>24</v>
      </c>
      <c r="M2" s="490"/>
      <c r="N2" s="490"/>
      <c r="O2" s="490"/>
      <c r="P2" s="491"/>
      <c r="Q2" s="481" t="s">
        <v>25</v>
      </c>
      <c r="R2" s="490"/>
      <c r="S2" s="490"/>
      <c r="T2" s="490"/>
      <c r="U2" s="491"/>
      <c r="V2" s="60"/>
      <c r="W2" s="60"/>
      <c r="X2" s="60"/>
      <c r="Y2" s="481" t="s">
        <v>96</v>
      </c>
      <c r="Z2" s="485"/>
      <c r="AA2" s="481" t="s">
        <v>46</v>
      </c>
      <c r="AB2" s="485"/>
      <c r="AC2" s="481" t="s">
        <v>47</v>
      </c>
      <c r="AD2" s="485"/>
      <c r="AE2" s="481" t="s">
        <v>11</v>
      </c>
      <c r="AF2" s="485"/>
      <c r="AG2" s="481" t="s">
        <v>91</v>
      </c>
      <c r="AH2" s="485"/>
      <c r="AI2" s="481" t="s">
        <v>95</v>
      </c>
      <c r="AJ2" s="485"/>
      <c r="AK2" s="481" t="s">
        <v>94</v>
      </c>
      <c r="AL2" s="485"/>
      <c r="AM2" s="481" t="s">
        <v>93</v>
      </c>
      <c r="AN2" s="485"/>
      <c r="AO2" s="481" t="s">
        <v>92</v>
      </c>
      <c r="AP2" s="482"/>
      <c r="AQ2" s="21" t="s">
        <v>16</v>
      </c>
      <c r="AR2" s="19" t="s">
        <v>17</v>
      </c>
      <c r="AS2" s="66" t="s">
        <v>87</v>
      </c>
      <c r="AT2" s="67" t="s">
        <v>88</v>
      </c>
      <c r="AU2" s="449" t="s">
        <v>89</v>
      </c>
      <c r="AV2" s="480"/>
      <c r="AW2" s="39"/>
      <c r="AX2" s="39"/>
      <c r="AY2" s="14"/>
      <c r="AZ2" s="14"/>
      <c r="BA2" s="14"/>
      <c r="BB2" s="14"/>
      <c r="BC2" s="14"/>
      <c r="BD2" s="14"/>
      <c r="BE2" s="14"/>
      <c r="BF2" s="14"/>
      <c r="BG2" s="14"/>
      <c r="BH2" s="14"/>
    </row>
    <row r="3" spans="1:60" ht="24.75" customHeight="1">
      <c r="A3" s="81" t="s">
        <v>171</v>
      </c>
      <c r="B3" s="15" t="s">
        <v>66</v>
      </c>
      <c r="C3" s="16" t="s">
        <v>83</v>
      </c>
      <c r="D3" s="16" t="s">
        <v>84</v>
      </c>
      <c r="E3" s="17" t="s">
        <v>85</v>
      </c>
      <c r="F3" s="53" t="s">
        <v>15</v>
      </c>
      <c r="G3" s="15" t="s">
        <v>66</v>
      </c>
      <c r="H3" s="16" t="s">
        <v>83</v>
      </c>
      <c r="I3" s="16" t="s">
        <v>84</v>
      </c>
      <c r="J3" s="17" t="s">
        <v>85</v>
      </c>
      <c r="K3" s="18" t="s">
        <v>15</v>
      </c>
      <c r="L3" s="15" t="s">
        <v>66</v>
      </c>
      <c r="M3" s="16" t="s">
        <v>83</v>
      </c>
      <c r="N3" s="16" t="s">
        <v>84</v>
      </c>
      <c r="O3" s="17" t="s">
        <v>85</v>
      </c>
      <c r="P3" s="18" t="s">
        <v>15</v>
      </c>
      <c r="Q3" s="15" t="s">
        <v>66</v>
      </c>
      <c r="R3" s="16" t="s">
        <v>83</v>
      </c>
      <c r="S3" s="16" t="s">
        <v>84</v>
      </c>
      <c r="T3" s="17" t="s">
        <v>85</v>
      </c>
      <c r="U3" s="18" t="s">
        <v>15</v>
      </c>
      <c r="V3" s="61" t="s">
        <v>161</v>
      </c>
      <c r="W3" s="61" t="s">
        <v>83</v>
      </c>
      <c r="X3" s="62" t="s">
        <v>15</v>
      </c>
      <c r="Y3" s="64" t="s">
        <v>14</v>
      </c>
      <c r="Z3" s="65" t="s">
        <v>15</v>
      </c>
      <c r="AA3" s="64" t="s">
        <v>14</v>
      </c>
      <c r="AB3" s="65" t="s">
        <v>15</v>
      </c>
      <c r="AC3" s="64" t="s">
        <v>14</v>
      </c>
      <c r="AD3" s="65" t="s">
        <v>15</v>
      </c>
      <c r="AE3" s="64" t="s">
        <v>14</v>
      </c>
      <c r="AF3" s="65" t="s">
        <v>15</v>
      </c>
      <c r="AG3" s="64" t="s">
        <v>14</v>
      </c>
      <c r="AH3" s="65" t="s">
        <v>15</v>
      </c>
      <c r="AI3" s="64" t="s">
        <v>14</v>
      </c>
      <c r="AJ3" s="65" t="s">
        <v>15</v>
      </c>
      <c r="AK3" s="64" t="s">
        <v>14</v>
      </c>
      <c r="AL3" s="65" t="s">
        <v>15</v>
      </c>
      <c r="AM3" s="64" t="s">
        <v>14</v>
      </c>
      <c r="AN3" s="65" t="s">
        <v>15</v>
      </c>
      <c r="AO3" s="64" t="s">
        <v>14</v>
      </c>
      <c r="AP3" s="68" t="s">
        <v>15</v>
      </c>
      <c r="AQ3" s="22"/>
      <c r="AR3" s="20"/>
      <c r="AS3" s="22"/>
      <c r="AT3" s="63"/>
      <c r="AU3" s="162" t="s">
        <v>165</v>
      </c>
      <c r="AV3" s="163" t="s">
        <v>166</v>
      </c>
      <c r="AW3" s="14"/>
      <c r="AX3" s="14"/>
      <c r="AY3" s="14"/>
      <c r="AZ3" s="14"/>
      <c r="BA3" s="14"/>
      <c r="BB3" s="14"/>
      <c r="BC3" s="14"/>
      <c r="BD3" s="14"/>
      <c r="BE3" s="14"/>
      <c r="BF3" s="14"/>
      <c r="BG3" s="14"/>
      <c r="BH3" s="14"/>
    </row>
    <row r="4" spans="1:60" ht="12.75">
      <c r="A4" s="111" t="s">
        <v>114</v>
      </c>
      <c r="B4" s="89"/>
      <c r="C4" s="90"/>
      <c r="D4" s="90"/>
      <c r="E4" s="91"/>
      <c r="F4" s="92"/>
      <c r="G4" s="89"/>
      <c r="H4" s="90"/>
      <c r="I4" s="90"/>
      <c r="J4" s="91"/>
      <c r="K4" s="92"/>
      <c r="L4" s="89"/>
      <c r="M4" s="90"/>
      <c r="N4" s="90"/>
      <c r="O4" s="91"/>
      <c r="P4" s="92"/>
      <c r="Q4" s="72"/>
      <c r="R4" s="73"/>
      <c r="S4" s="73"/>
      <c r="T4" s="74"/>
      <c r="U4" s="76"/>
      <c r="V4" s="73"/>
      <c r="W4" s="73"/>
      <c r="X4" s="75"/>
      <c r="Y4" s="77"/>
      <c r="Z4" s="78"/>
      <c r="AA4" s="77"/>
      <c r="AB4" s="123"/>
      <c r="AC4" s="77"/>
      <c r="AD4" s="78"/>
      <c r="AE4" s="77"/>
      <c r="AF4" s="78"/>
      <c r="AG4" s="77"/>
      <c r="AH4" s="78"/>
      <c r="AI4" s="77"/>
      <c r="AJ4" s="78"/>
      <c r="AK4" s="77"/>
      <c r="AL4" s="78"/>
      <c r="AM4" s="77"/>
      <c r="AN4" s="78"/>
      <c r="AO4" s="79"/>
      <c r="AP4" s="80"/>
      <c r="AQ4" s="124"/>
      <c r="AR4" s="124"/>
      <c r="AS4" s="124"/>
      <c r="AT4" s="96"/>
      <c r="AU4" s="125"/>
      <c r="AV4" s="76"/>
      <c r="AW4" s="14"/>
      <c r="AX4" s="14"/>
      <c r="AY4" s="14"/>
      <c r="AZ4" s="14"/>
      <c r="BA4" s="14"/>
      <c r="BB4" s="14"/>
      <c r="BC4" s="14"/>
      <c r="BD4" s="14"/>
      <c r="BE4" s="14"/>
      <c r="BF4" s="14"/>
      <c r="BG4" s="14"/>
      <c r="BH4" s="14"/>
    </row>
    <row r="5" spans="1:60" ht="12.75">
      <c r="A5" s="112" t="str">
        <f>IF(ISTEXT(Alternatives!B5),Alternatives!B5,"")</f>
        <v>No action</v>
      </c>
      <c r="B5" s="323">
        <v>6</v>
      </c>
      <c r="C5" s="324">
        <v>4</v>
      </c>
      <c r="D5" s="324">
        <v>4</v>
      </c>
      <c r="E5" s="324">
        <v>3</v>
      </c>
      <c r="F5" s="325">
        <v>5</v>
      </c>
      <c r="G5" s="323">
        <v>1</v>
      </c>
      <c r="H5" s="324">
        <v>1</v>
      </c>
      <c r="I5" s="324">
        <v>1</v>
      </c>
      <c r="J5" s="324">
        <v>1</v>
      </c>
      <c r="K5" s="325">
        <v>1</v>
      </c>
      <c r="L5" s="323">
        <v>6</v>
      </c>
      <c r="M5" s="324">
        <v>4</v>
      </c>
      <c r="N5" s="324">
        <v>4</v>
      </c>
      <c r="O5" s="324">
        <v>1</v>
      </c>
      <c r="P5" s="325">
        <v>1</v>
      </c>
      <c r="Q5" s="323">
        <v>1</v>
      </c>
      <c r="R5" s="324">
        <v>1</v>
      </c>
      <c r="S5" s="324">
        <v>1</v>
      </c>
      <c r="T5" s="324">
        <v>1</v>
      </c>
      <c r="U5" s="325">
        <v>1</v>
      </c>
      <c r="V5" s="326">
        <v>1</v>
      </c>
      <c r="W5" s="326">
        <v>1</v>
      </c>
      <c r="X5" s="326">
        <v>1</v>
      </c>
      <c r="Y5" s="323">
        <v>1</v>
      </c>
      <c r="Z5" s="325">
        <v>1</v>
      </c>
      <c r="AA5" s="323">
        <v>8</v>
      </c>
      <c r="AB5" s="325">
        <v>5</v>
      </c>
      <c r="AC5" s="323">
        <v>1</v>
      </c>
      <c r="AD5" s="325">
        <v>1</v>
      </c>
      <c r="AE5" s="323">
        <v>1</v>
      </c>
      <c r="AF5" s="325">
        <v>1</v>
      </c>
      <c r="AG5" s="323">
        <v>1</v>
      </c>
      <c r="AH5" s="325">
        <v>1</v>
      </c>
      <c r="AI5" s="323">
        <v>1</v>
      </c>
      <c r="AJ5" s="325">
        <v>1</v>
      </c>
      <c r="AK5" s="323">
        <v>1</v>
      </c>
      <c r="AL5" s="325">
        <v>1</v>
      </c>
      <c r="AM5" s="323">
        <v>1</v>
      </c>
      <c r="AN5" s="325">
        <v>1</v>
      </c>
      <c r="AO5" s="323">
        <v>1</v>
      </c>
      <c r="AP5" s="325">
        <v>1</v>
      </c>
      <c r="AQ5" s="327">
        <v>6</v>
      </c>
      <c r="AR5" s="328">
        <v>43</v>
      </c>
      <c r="AS5" s="329">
        <v>0</v>
      </c>
      <c r="AT5" s="330">
        <v>0.039</v>
      </c>
      <c r="AU5" s="331">
        <v>3</v>
      </c>
      <c r="AV5" s="332">
        <v>4</v>
      </c>
      <c r="AW5" s="14"/>
      <c r="AX5" s="14"/>
      <c r="AY5" s="14"/>
      <c r="AZ5" s="14"/>
      <c r="BA5" s="14"/>
      <c r="BB5" s="14"/>
      <c r="BC5" s="14"/>
      <c r="BD5" s="14"/>
      <c r="BE5" s="14"/>
      <c r="BF5" s="14"/>
      <c r="BG5" s="14"/>
      <c r="BH5" s="14"/>
    </row>
    <row r="6" spans="1:60" ht="12.75">
      <c r="A6" s="112" t="str">
        <f>IF(ISTEXT(Alternatives!B6),Alternatives!B6,"")</f>
        <v>MNA in MAAZ &amp; LLAZ</v>
      </c>
      <c r="B6" s="323">
        <v>2</v>
      </c>
      <c r="C6" s="324">
        <v>2</v>
      </c>
      <c r="D6" s="324">
        <v>4</v>
      </c>
      <c r="E6" s="324">
        <v>3</v>
      </c>
      <c r="F6" s="325">
        <v>5</v>
      </c>
      <c r="G6" s="323">
        <v>1</v>
      </c>
      <c r="H6" s="324">
        <v>1</v>
      </c>
      <c r="I6" s="324">
        <v>1</v>
      </c>
      <c r="J6" s="324">
        <v>1</v>
      </c>
      <c r="K6" s="325">
        <v>1</v>
      </c>
      <c r="L6" s="323">
        <v>2</v>
      </c>
      <c r="M6" s="324">
        <v>2</v>
      </c>
      <c r="N6" s="324">
        <v>4</v>
      </c>
      <c r="O6" s="324">
        <v>1</v>
      </c>
      <c r="P6" s="325">
        <v>1</v>
      </c>
      <c r="Q6" s="323">
        <v>1</v>
      </c>
      <c r="R6" s="324">
        <v>1</v>
      </c>
      <c r="S6" s="324">
        <v>1</v>
      </c>
      <c r="T6" s="324">
        <v>1</v>
      </c>
      <c r="U6" s="325">
        <v>1</v>
      </c>
      <c r="V6" s="326">
        <v>5</v>
      </c>
      <c r="W6" s="326">
        <v>2</v>
      </c>
      <c r="X6" s="326">
        <v>4</v>
      </c>
      <c r="Y6" s="323">
        <v>1</v>
      </c>
      <c r="Z6" s="325">
        <v>1</v>
      </c>
      <c r="AA6" s="323">
        <v>8</v>
      </c>
      <c r="AB6" s="325">
        <v>5</v>
      </c>
      <c r="AC6" s="323">
        <v>1</v>
      </c>
      <c r="AD6" s="325">
        <v>1</v>
      </c>
      <c r="AE6" s="323">
        <v>1</v>
      </c>
      <c r="AF6" s="325">
        <v>1</v>
      </c>
      <c r="AG6" s="323">
        <v>1</v>
      </c>
      <c r="AH6" s="325">
        <v>1</v>
      </c>
      <c r="AI6" s="323">
        <v>1</v>
      </c>
      <c r="AJ6" s="325">
        <v>1</v>
      </c>
      <c r="AK6" s="323">
        <v>1</v>
      </c>
      <c r="AL6" s="325">
        <v>1</v>
      </c>
      <c r="AM6" s="323">
        <v>1</v>
      </c>
      <c r="AN6" s="325">
        <v>1</v>
      </c>
      <c r="AO6" s="323">
        <v>1</v>
      </c>
      <c r="AP6" s="325">
        <v>1</v>
      </c>
      <c r="AQ6" s="327">
        <v>4</v>
      </c>
      <c r="AR6" s="328">
        <v>43</v>
      </c>
      <c r="AS6" s="329">
        <v>3408000</v>
      </c>
      <c r="AT6" s="330">
        <v>0.039</v>
      </c>
      <c r="AU6" s="331">
        <v>3</v>
      </c>
      <c r="AV6" s="333">
        <v>4</v>
      </c>
      <c r="AW6" s="260"/>
      <c r="AX6" s="14"/>
      <c r="AY6" s="14"/>
      <c r="AZ6" s="14"/>
      <c r="BA6" s="14"/>
      <c r="BB6" s="14"/>
      <c r="BC6" s="14"/>
      <c r="BD6" s="14"/>
      <c r="BE6" s="14"/>
      <c r="BF6" s="14"/>
      <c r="BG6" s="14"/>
      <c r="BH6" s="14"/>
    </row>
    <row r="7" spans="1:60" ht="12.75">
      <c r="A7" s="112" t="str">
        <f>IF(ISTEXT(Alternatives!B7),Alternatives!B7,"")</f>
        <v>Operate existing gw recirc wells to 50 ug/L; MNA in residual</v>
      </c>
      <c r="B7" s="323">
        <v>2</v>
      </c>
      <c r="C7" s="324">
        <v>2</v>
      </c>
      <c r="D7" s="324">
        <v>4</v>
      </c>
      <c r="E7" s="324">
        <v>3</v>
      </c>
      <c r="F7" s="325">
        <v>5</v>
      </c>
      <c r="G7" s="323">
        <v>1</v>
      </c>
      <c r="H7" s="324">
        <v>1</v>
      </c>
      <c r="I7" s="324">
        <v>1</v>
      </c>
      <c r="J7" s="324">
        <v>1</v>
      </c>
      <c r="K7" s="325">
        <v>1</v>
      </c>
      <c r="L7" s="323">
        <v>2</v>
      </c>
      <c r="M7" s="324">
        <v>2</v>
      </c>
      <c r="N7" s="324">
        <v>4</v>
      </c>
      <c r="O7" s="324">
        <v>1</v>
      </c>
      <c r="P7" s="325">
        <v>1</v>
      </c>
      <c r="Q7" s="323">
        <v>1</v>
      </c>
      <c r="R7" s="324">
        <v>1</v>
      </c>
      <c r="S7" s="324">
        <v>1</v>
      </c>
      <c r="T7" s="324">
        <v>1</v>
      </c>
      <c r="U7" s="325">
        <v>1</v>
      </c>
      <c r="V7" s="326">
        <v>5</v>
      </c>
      <c r="W7" s="326">
        <v>2</v>
      </c>
      <c r="X7" s="326">
        <v>4</v>
      </c>
      <c r="Y7" s="323">
        <v>1</v>
      </c>
      <c r="Z7" s="325">
        <v>1</v>
      </c>
      <c r="AA7" s="323">
        <v>8</v>
      </c>
      <c r="AB7" s="325">
        <v>4</v>
      </c>
      <c r="AC7" s="323">
        <v>1</v>
      </c>
      <c r="AD7" s="325">
        <v>1</v>
      </c>
      <c r="AE7" s="323">
        <v>1</v>
      </c>
      <c r="AF7" s="325">
        <v>1</v>
      </c>
      <c r="AG7" s="323">
        <v>1</v>
      </c>
      <c r="AH7" s="325">
        <v>1</v>
      </c>
      <c r="AI7" s="323">
        <v>1</v>
      </c>
      <c r="AJ7" s="325">
        <v>1</v>
      </c>
      <c r="AK7" s="323">
        <v>1</v>
      </c>
      <c r="AL7" s="325">
        <v>1</v>
      </c>
      <c r="AM7" s="323">
        <v>1</v>
      </c>
      <c r="AN7" s="325">
        <v>1</v>
      </c>
      <c r="AO7" s="323">
        <v>1</v>
      </c>
      <c r="AP7" s="325">
        <v>1</v>
      </c>
      <c r="AQ7" s="327">
        <v>3</v>
      </c>
      <c r="AR7" s="328">
        <v>30</v>
      </c>
      <c r="AS7" s="329">
        <v>5413000</v>
      </c>
      <c r="AT7" s="330">
        <v>0.039</v>
      </c>
      <c r="AU7" s="331">
        <v>3</v>
      </c>
      <c r="AV7" s="333">
        <v>4</v>
      </c>
      <c r="AW7" s="14"/>
      <c r="AX7" s="14"/>
      <c r="AY7" s="14"/>
      <c r="AZ7" s="14"/>
      <c r="BA7" s="14"/>
      <c r="BB7" s="14"/>
      <c r="BC7" s="14"/>
      <c r="BD7" s="14"/>
      <c r="BE7" s="14"/>
      <c r="BF7" s="14"/>
      <c r="BG7" s="14"/>
      <c r="BH7" s="14"/>
    </row>
    <row r="8" spans="1:60" ht="12.75">
      <c r="A8" s="112" t="str">
        <f>IF(ISTEXT(Alternatives!B8),Alternatives!B8,"")</f>
        <v>GW recirc in LLAZ to 50 ug/L; MNA in MAAZ</v>
      </c>
      <c r="B8" s="323">
        <v>2</v>
      </c>
      <c r="C8" s="324">
        <v>2</v>
      </c>
      <c r="D8" s="324">
        <v>4</v>
      </c>
      <c r="E8" s="324">
        <v>2</v>
      </c>
      <c r="F8" s="325">
        <v>5</v>
      </c>
      <c r="G8" s="323">
        <v>1</v>
      </c>
      <c r="H8" s="324">
        <v>1</v>
      </c>
      <c r="I8" s="324">
        <v>1</v>
      </c>
      <c r="J8" s="324">
        <v>1</v>
      </c>
      <c r="K8" s="325">
        <v>1</v>
      </c>
      <c r="L8" s="323">
        <v>2</v>
      </c>
      <c r="M8" s="324">
        <v>2</v>
      </c>
      <c r="N8" s="324">
        <v>4</v>
      </c>
      <c r="O8" s="324">
        <v>1</v>
      </c>
      <c r="P8" s="325">
        <v>1</v>
      </c>
      <c r="Q8" s="323">
        <v>1</v>
      </c>
      <c r="R8" s="324">
        <v>1</v>
      </c>
      <c r="S8" s="324">
        <v>1</v>
      </c>
      <c r="T8" s="324">
        <v>1</v>
      </c>
      <c r="U8" s="325">
        <v>1</v>
      </c>
      <c r="V8" s="326">
        <v>6</v>
      </c>
      <c r="W8" s="326">
        <v>2</v>
      </c>
      <c r="X8" s="326">
        <v>4</v>
      </c>
      <c r="Y8" s="323">
        <v>1</v>
      </c>
      <c r="Z8" s="325">
        <v>1</v>
      </c>
      <c r="AA8" s="323">
        <v>8</v>
      </c>
      <c r="AB8" s="325">
        <v>4</v>
      </c>
      <c r="AC8" s="323">
        <v>1</v>
      </c>
      <c r="AD8" s="325">
        <v>1</v>
      </c>
      <c r="AE8" s="323">
        <v>1</v>
      </c>
      <c r="AF8" s="325">
        <v>1</v>
      </c>
      <c r="AG8" s="323">
        <v>1</v>
      </c>
      <c r="AH8" s="325">
        <v>1</v>
      </c>
      <c r="AI8" s="323">
        <v>1</v>
      </c>
      <c r="AJ8" s="325">
        <v>1</v>
      </c>
      <c r="AK8" s="323">
        <v>1</v>
      </c>
      <c r="AL8" s="325">
        <v>1</v>
      </c>
      <c r="AM8" s="323">
        <v>1</v>
      </c>
      <c r="AN8" s="325">
        <v>1</v>
      </c>
      <c r="AO8" s="323">
        <v>1</v>
      </c>
      <c r="AP8" s="325">
        <v>1</v>
      </c>
      <c r="AQ8" s="327">
        <v>2</v>
      </c>
      <c r="AR8" s="328">
        <v>30</v>
      </c>
      <c r="AS8" s="329">
        <v>7229000</v>
      </c>
      <c r="AT8" s="330">
        <v>0.039</v>
      </c>
      <c r="AU8" s="331">
        <v>3</v>
      </c>
      <c r="AV8" s="333">
        <v>4</v>
      </c>
      <c r="AW8" s="14"/>
      <c r="AX8" s="14"/>
      <c r="AY8" s="14"/>
      <c r="AZ8" s="14"/>
      <c r="BA8" s="14"/>
      <c r="BB8" s="14"/>
      <c r="BC8" s="14"/>
      <c r="BD8" s="14"/>
      <c r="BE8" s="14"/>
      <c r="BF8" s="14"/>
      <c r="BG8" s="14"/>
      <c r="BH8" s="14"/>
    </row>
    <row r="9" spans="1:60" ht="12.75">
      <c r="A9" s="112" t="str">
        <f>IF(ISTEXT(Alternatives!B9),Alternatives!B9,"")</f>
        <v>ChemOx in LLAZ to 50 ug/L; MNA in MAAZ</v>
      </c>
      <c r="B9" s="323">
        <v>2</v>
      </c>
      <c r="C9" s="324">
        <v>2</v>
      </c>
      <c r="D9" s="324">
        <v>4</v>
      </c>
      <c r="E9" s="324">
        <v>2</v>
      </c>
      <c r="F9" s="325">
        <v>5</v>
      </c>
      <c r="G9" s="323">
        <v>1</v>
      </c>
      <c r="H9" s="324">
        <v>1</v>
      </c>
      <c r="I9" s="324">
        <v>1</v>
      </c>
      <c r="J9" s="324">
        <v>1</v>
      </c>
      <c r="K9" s="325">
        <v>1</v>
      </c>
      <c r="L9" s="323">
        <v>2</v>
      </c>
      <c r="M9" s="324">
        <v>2</v>
      </c>
      <c r="N9" s="324">
        <v>4</v>
      </c>
      <c r="O9" s="324">
        <v>1</v>
      </c>
      <c r="P9" s="325">
        <v>1</v>
      </c>
      <c r="Q9" s="323">
        <v>1</v>
      </c>
      <c r="R9" s="324">
        <v>1</v>
      </c>
      <c r="S9" s="324">
        <v>1</v>
      </c>
      <c r="T9" s="324">
        <v>1</v>
      </c>
      <c r="U9" s="325">
        <v>1</v>
      </c>
      <c r="V9" s="326">
        <v>7</v>
      </c>
      <c r="W9" s="326">
        <v>2</v>
      </c>
      <c r="X9" s="326">
        <v>4</v>
      </c>
      <c r="Y9" s="323">
        <v>1</v>
      </c>
      <c r="Z9" s="325">
        <v>1</v>
      </c>
      <c r="AA9" s="323">
        <v>8</v>
      </c>
      <c r="AB9" s="325">
        <v>4</v>
      </c>
      <c r="AC9" s="323">
        <v>1</v>
      </c>
      <c r="AD9" s="325">
        <v>1</v>
      </c>
      <c r="AE9" s="323">
        <v>1</v>
      </c>
      <c r="AF9" s="325">
        <v>1</v>
      </c>
      <c r="AG9" s="323">
        <v>1</v>
      </c>
      <c r="AH9" s="325">
        <v>1</v>
      </c>
      <c r="AI9" s="323">
        <v>1</v>
      </c>
      <c r="AJ9" s="325">
        <v>1</v>
      </c>
      <c r="AK9" s="323">
        <v>1</v>
      </c>
      <c r="AL9" s="325">
        <v>1</v>
      </c>
      <c r="AM9" s="323">
        <v>1</v>
      </c>
      <c r="AN9" s="325">
        <v>1</v>
      </c>
      <c r="AO9" s="323">
        <v>1</v>
      </c>
      <c r="AP9" s="325">
        <v>1</v>
      </c>
      <c r="AQ9" s="327">
        <v>2</v>
      </c>
      <c r="AR9" s="328">
        <v>25</v>
      </c>
      <c r="AS9" s="329">
        <v>9721000</v>
      </c>
      <c r="AT9" s="330">
        <v>0.039</v>
      </c>
      <c r="AU9" s="327">
        <v>3</v>
      </c>
      <c r="AV9" s="334">
        <v>5</v>
      </c>
      <c r="AW9" s="14"/>
      <c r="AX9" s="14"/>
      <c r="AY9" s="14"/>
      <c r="AZ9" s="14"/>
      <c r="BA9" s="14"/>
      <c r="BB9" s="14"/>
      <c r="BC9" s="14"/>
      <c r="BD9" s="14"/>
      <c r="BE9" s="14"/>
      <c r="BF9" s="14"/>
      <c r="BG9" s="14"/>
      <c r="BH9" s="14"/>
    </row>
    <row r="10" spans="1:60" ht="12.75">
      <c r="A10" s="112" t="str">
        <f>IF(ISTEXT(Alternatives!B10),Alternatives!B10,"")</f>
        <v>PRB in LLAZ to 50 ug/L; MNA in MAAZ</v>
      </c>
      <c r="B10" s="323">
        <v>2</v>
      </c>
      <c r="C10" s="324">
        <v>2</v>
      </c>
      <c r="D10" s="324">
        <v>4</v>
      </c>
      <c r="E10" s="324">
        <v>2</v>
      </c>
      <c r="F10" s="325">
        <v>5</v>
      </c>
      <c r="G10" s="323">
        <v>1</v>
      </c>
      <c r="H10" s="324">
        <v>1</v>
      </c>
      <c r="I10" s="324">
        <v>1</v>
      </c>
      <c r="J10" s="324">
        <v>1</v>
      </c>
      <c r="K10" s="325">
        <v>1</v>
      </c>
      <c r="L10" s="323">
        <v>2</v>
      </c>
      <c r="M10" s="324">
        <v>2</v>
      </c>
      <c r="N10" s="324">
        <v>4</v>
      </c>
      <c r="O10" s="324">
        <v>1</v>
      </c>
      <c r="P10" s="325">
        <v>1</v>
      </c>
      <c r="Q10" s="323">
        <v>1</v>
      </c>
      <c r="R10" s="324">
        <v>1</v>
      </c>
      <c r="S10" s="324">
        <v>1</v>
      </c>
      <c r="T10" s="324">
        <v>1</v>
      </c>
      <c r="U10" s="325">
        <v>1</v>
      </c>
      <c r="V10" s="326">
        <v>6</v>
      </c>
      <c r="W10" s="326">
        <v>3</v>
      </c>
      <c r="X10" s="326">
        <v>4</v>
      </c>
      <c r="Y10" s="323">
        <v>1</v>
      </c>
      <c r="Z10" s="325">
        <v>1</v>
      </c>
      <c r="AA10" s="323">
        <v>8</v>
      </c>
      <c r="AB10" s="325">
        <v>4</v>
      </c>
      <c r="AC10" s="323">
        <v>1</v>
      </c>
      <c r="AD10" s="325">
        <v>1</v>
      </c>
      <c r="AE10" s="323">
        <v>1</v>
      </c>
      <c r="AF10" s="325">
        <v>1</v>
      </c>
      <c r="AG10" s="323">
        <v>1</v>
      </c>
      <c r="AH10" s="325">
        <v>1</v>
      </c>
      <c r="AI10" s="323">
        <v>1</v>
      </c>
      <c r="AJ10" s="325">
        <v>1</v>
      </c>
      <c r="AK10" s="323">
        <v>1</v>
      </c>
      <c r="AL10" s="325">
        <v>1</v>
      </c>
      <c r="AM10" s="323">
        <v>1</v>
      </c>
      <c r="AN10" s="325">
        <v>1</v>
      </c>
      <c r="AO10" s="323">
        <v>1</v>
      </c>
      <c r="AP10" s="325">
        <v>1</v>
      </c>
      <c r="AQ10" s="327">
        <v>2</v>
      </c>
      <c r="AR10" s="328">
        <v>25</v>
      </c>
      <c r="AS10" s="329">
        <v>42321000</v>
      </c>
      <c r="AT10" s="330">
        <v>0.039</v>
      </c>
      <c r="AU10" s="327">
        <v>2</v>
      </c>
      <c r="AV10" s="334">
        <v>3</v>
      </c>
      <c r="AW10" s="14"/>
      <c r="AX10" s="14"/>
      <c r="AY10" s="14"/>
      <c r="AZ10" s="14"/>
      <c r="BA10" s="14"/>
      <c r="BB10" s="14"/>
      <c r="BC10" s="14"/>
      <c r="BD10" s="14"/>
      <c r="BE10" s="14"/>
      <c r="BF10" s="14"/>
      <c r="BG10" s="14"/>
      <c r="BH10" s="14"/>
    </row>
    <row r="11" spans="1:60" ht="12.75">
      <c r="A11" s="112" t="str">
        <f>IF(ISTEXT(Alternatives!B11),Alternatives!B11,"")</f>
        <v>GW recirc in LLAZ &amp; MAAZ to 50 ug/L</v>
      </c>
      <c r="B11" s="323">
        <v>2</v>
      </c>
      <c r="C11" s="324">
        <v>2</v>
      </c>
      <c r="D11" s="324">
        <v>4</v>
      </c>
      <c r="E11" s="324">
        <v>2</v>
      </c>
      <c r="F11" s="325">
        <v>5</v>
      </c>
      <c r="G11" s="323">
        <v>1</v>
      </c>
      <c r="H11" s="324">
        <v>1</v>
      </c>
      <c r="I11" s="324">
        <v>1</v>
      </c>
      <c r="J11" s="324">
        <v>1</v>
      </c>
      <c r="K11" s="325">
        <v>1</v>
      </c>
      <c r="L11" s="323">
        <v>2</v>
      </c>
      <c r="M11" s="324">
        <v>2</v>
      </c>
      <c r="N11" s="324">
        <v>4</v>
      </c>
      <c r="O11" s="324">
        <v>1</v>
      </c>
      <c r="P11" s="325">
        <v>1</v>
      </c>
      <c r="Q11" s="323">
        <v>1</v>
      </c>
      <c r="R11" s="324">
        <v>1</v>
      </c>
      <c r="S11" s="324">
        <v>1</v>
      </c>
      <c r="T11" s="324">
        <v>1</v>
      </c>
      <c r="U11" s="325">
        <v>1</v>
      </c>
      <c r="V11" s="326">
        <v>6</v>
      </c>
      <c r="W11" s="326">
        <v>2</v>
      </c>
      <c r="X11" s="326">
        <v>4</v>
      </c>
      <c r="Y11" s="323">
        <v>1</v>
      </c>
      <c r="Z11" s="325">
        <v>1</v>
      </c>
      <c r="AA11" s="323">
        <v>8</v>
      </c>
      <c r="AB11" s="325">
        <v>4</v>
      </c>
      <c r="AC11" s="323">
        <v>1</v>
      </c>
      <c r="AD11" s="325">
        <v>1</v>
      </c>
      <c r="AE11" s="323">
        <v>1</v>
      </c>
      <c r="AF11" s="325">
        <v>1</v>
      </c>
      <c r="AG11" s="323">
        <v>1</v>
      </c>
      <c r="AH11" s="325">
        <v>1</v>
      </c>
      <c r="AI11" s="323">
        <v>1</v>
      </c>
      <c r="AJ11" s="325">
        <v>1</v>
      </c>
      <c r="AK11" s="323">
        <v>1</v>
      </c>
      <c r="AL11" s="325">
        <v>1</v>
      </c>
      <c r="AM11" s="323">
        <v>1</v>
      </c>
      <c r="AN11" s="325">
        <v>1</v>
      </c>
      <c r="AO11" s="323">
        <v>1</v>
      </c>
      <c r="AP11" s="325">
        <v>1</v>
      </c>
      <c r="AQ11" s="327">
        <v>2</v>
      </c>
      <c r="AR11" s="328">
        <v>27</v>
      </c>
      <c r="AS11" s="329">
        <v>8830000</v>
      </c>
      <c r="AT11" s="330">
        <v>0.039</v>
      </c>
      <c r="AU11" s="327">
        <v>3</v>
      </c>
      <c r="AV11" s="334">
        <v>4</v>
      </c>
      <c r="AW11" s="14"/>
      <c r="AX11" s="14"/>
      <c r="AY11" s="14"/>
      <c r="AZ11" s="14"/>
      <c r="BA11" s="14"/>
      <c r="BB11" s="14"/>
      <c r="BC11" s="14"/>
      <c r="BD11" s="14"/>
      <c r="BE11" s="14"/>
      <c r="BF11" s="14"/>
      <c r="BG11" s="14"/>
      <c r="BH11" s="14"/>
    </row>
    <row r="12" spans="1:60" ht="12.75">
      <c r="A12" s="112" t="str">
        <f>IF(ISTEXT(Alternatives!B12),Alternatives!B12,"")</f>
        <v>ChemOx in LLAZ to 50 ug/L; GW recirc in MAAZ to 50 ug/L</v>
      </c>
      <c r="B12" s="323">
        <v>2</v>
      </c>
      <c r="C12" s="324">
        <v>2</v>
      </c>
      <c r="D12" s="324">
        <v>4</v>
      </c>
      <c r="E12" s="324">
        <v>2</v>
      </c>
      <c r="F12" s="325">
        <v>5</v>
      </c>
      <c r="G12" s="323">
        <v>1</v>
      </c>
      <c r="H12" s="324">
        <v>1</v>
      </c>
      <c r="I12" s="324">
        <v>1</v>
      </c>
      <c r="J12" s="324">
        <v>1</v>
      </c>
      <c r="K12" s="325">
        <v>1</v>
      </c>
      <c r="L12" s="323">
        <v>2</v>
      </c>
      <c r="M12" s="324">
        <v>2</v>
      </c>
      <c r="N12" s="324">
        <v>4</v>
      </c>
      <c r="O12" s="324">
        <v>1</v>
      </c>
      <c r="P12" s="325">
        <v>1</v>
      </c>
      <c r="Q12" s="323">
        <v>1</v>
      </c>
      <c r="R12" s="324">
        <v>1</v>
      </c>
      <c r="S12" s="324">
        <v>1</v>
      </c>
      <c r="T12" s="324">
        <v>1</v>
      </c>
      <c r="U12" s="325">
        <v>1</v>
      </c>
      <c r="V12" s="326">
        <v>7</v>
      </c>
      <c r="W12" s="326">
        <v>2</v>
      </c>
      <c r="X12" s="326">
        <v>4</v>
      </c>
      <c r="Y12" s="323">
        <v>1</v>
      </c>
      <c r="Z12" s="325">
        <v>1</v>
      </c>
      <c r="AA12" s="323">
        <v>8</v>
      </c>
      <c r="AB12" s="325">
        <v>4</v>
      </c>
      <c r="AC12" s="323">
        <v>1</v>
      </c>
      <c r="AD12" s="325">
        <v>1</v>
      </c>
      <c r="AE12" s="323">
        <v>1</v>
      </c>
      <c r="AF12" s="325">
        <v>1</v>
      </c>
      <c r="AG12" s="323">
        <v>1</v>
      </c>
      <c r="AH12" s="325">
        <v>1</v>
      </c>
      <c r="AI12" s="323">
        <v>1</v>
      </c>
      <c r="AJ12" s="325">
        <v>1</v>
      </c>
      <c r="AK12" s="323">
        <v>1</v>
      </c>
      <c r="AL12" s="325">
        <v>1</v>
      </c>
      <c r="AM12" s="323">
        <v>1</v>
      </c>
      <c r="AN12" s="325">
        <v>1</v>
      </c>
      <c r="AO12" s="323">
        <v>1</v>
      </c>
      <c r="AP12" s="325">
        <v>1</v>
      </c>
      <c r="AQ12" s="327">
        <v>2</v>
      </c>
      <c r="AR12" s="328">
        <v>24</v>
      </c>
      <c r="AS12" s="329">
        <v>11019000</v>
      </c>
      <c r="AT12" s="330">
        <v>0.039</v>
      </c>
      <c r="AU12" s="327">
        <v>3</v>
      </c>
      <c r="AV12" s="334">
        <v>5</v>
      </c>
      <c r="AW12" s="14"/>
      <c r="AX12" s="14"/>
      <c r="AY12" s="14"/>
      <c r="AZ12" s="14"/>
      <c r="BA12" s="14"/>
      <c r="BB12" s="14"/>
      <c r="BC12" s="14"/>
      <c r="BD12" s="14"/>
      <c r="BE12" s="14"/>
      <c r="BF12" s="14"/>
      <c r="BG12" s="14"/>
      <c r="BH12" s="14"/>
    </row>
    <row r="13" spans="1:60" ht="12.75">
      <c r="A13" s="112" t="str">
        <f>IF(ISTEXT(Alternatives!B13),Alternatives!B13,"")</f>
        <v>PRB in LLAZ to 50 ug/L; GW recirc in MAAZ to 50 ug/L</v>
      </c>
      <c r="B13" s="323">
        <v>2</v>
      </c>
      <c r="C13" s="324">
        <v>2</v>
      </c>
      <c r="D13" s="324">
        <v>4</v>
      </c>
      <c r="E13" s="324">
        <v>2</v>
      </c>
      <c r="F13" s="325">
        <v>5</v>
      </c>
      <c r="G13" s="323">
        <v>1</v>
      </c>
      <c r="H13" s="324">
        <v>1</v>
      </c>
      <c r="I13" s="324">
        <v>1</v>
      </c>
      <c r="J13" s="324">
        <v>1</v>
      </c>
      <c r="K13" s="325">
        <v>1</v>
      </c>
      <c r="L13" s="323">
        <v>2</v>
      </c>
      <c r="M13" s="324">
        <v>2</v>
      </c>
      <c r="N13" s="324">
        <v>4</v>
      </c>
      <c r="O13" s="324">
        <v>1</v>
      </c>
      <c r="P13" s="325">
        <v>1</v>
      </c>
      <c r="Q13" s="323">
        <v>1</v>
      </c>
      <c r="R13" s="324">
        <v>1</v>
      </c>
      <c r="S13" s="324">
        <v>1</v>
      </c>
      <c r="T13" s="324">
        <v>1</v>
      </c>
      <c r="U13" s="325">
        <v>1</v>
      </c>
      <c r="V13" s="326">
        <v>6</v>
      </c>
      <c r="W13" s="326">
        <v>3</v>
      </c>
      <c r="X13" s="326">
        <v>4</v>
      </c>
      <c r="Y13" s="323">
        <v>1</v>
      </c>
      <c r="Z13" s="325">
        <v>1</v>
      </c>
      <c r="AA13" s="323">
        <v>8</v>
      </c>
      <c r="AB13" s="325">
        <v>4</v>
      </c>
      <c r="AC13" s="323">
        <v>1</v>
      </c>
      <c r="AD13" s="325">
        <v>1</v>
      </c>
      <c r="AE13" s="323">
        <v>1</v>
      </c>
      <c r="AF13" s="325">
        <v>1</v>
      </c>
      <c r="AG13" s="323">
        <v>1</v>
      </c>
      <c r="AH13" s="325">
        <v>1</v>
      </c>
      <c r="AI13" s="323">
        <v>1</v>
      </c>
      <c r="AJ13" s="325">
        <v>1</v>
      </c>
      <c r="AK13" s="323">
        <v>1</v>
      </c>
      <c r="AL13" s="325">
        <v>1</v>
      </c>
      <c r="AM13" s="323">
        <v>1</v>
      </c>
      <c r="AN13" s="325">
        <v>1</v>
      </c>
      <c r="AO13" s="323">
        <v>1</v>
      </c>
      <c r="AP13" s="325">
        <v>1</v>
      </c>
      <c r="AQ13" s="327">
        <v>2</v>
      </c>
      <c r="AR13" s="328">
        <v>24</v>
      </c>
      <c r="AS13" s="329">
        <v>44402000</v>
      </c>
      <c r="AT13" s="330">
        <v>0.039</v>
      </c>
      <c r="AU13" s="327">
        <v>2</v>
      </c>
      <c r="AV13" s="334">
        <v>3</v>
      </c>
      <c r="AW13" s="14"/>
      <c r="AX13" s="14"/>
      <c r="AY13" s="14"/>
      <c r="AZ13" s="14"/>
      <c r="BA13" s="14"/>
      <c r="BB13" s="14"/>
      <c r="BC13" s="14"/>
      <c r="BD13" s="14"/>
      <c r="BE13" s="14"/>
      <c r="BF13" s="14"/>
      <c r="BG13" s="14"/>
      <c r="BH13" s="14"/>
    </row>
    <row r="14" spans="1:60" ht="12.75">
      <c r="A14" s="112">
        <f>IF(ISTEXT(Alternatives!B14),Alternatives!B14,"")</f>
      </c>
      <c r="B14" s="323"/>
      <c r="C14" s="324"/>
      <c r="D14" s="324"/>
      <c r="E14" s="324"/>
      <c r="F14" s="325"/>
      <c r="G14" s="323"/>
      <c r="H14" s="324"/>
      <c r="I14" s="324"/>
      <c r="J14" s="324"/>
      <c r="K14" s="325"/>
      <c r="L14" s="323"/>
      <c r="M14" s="324"/>
      <c r="N14" s="324"/>
      <c r="O14" s="324"/>
      <c r="P14" s="325"/>
      <c r="Q14" s="323"/>
      <c r="R14" s="324"/>
      <c r="S14" s="324"/>
      <c r="T14" s="324"/>
      <c r="U14" s="325"/>
      <c r="V14" s="326"/>
      <c r="W14" s="326"/>
      <c r="X14" s="326"/>
      <c r="Y14" s="323"/>
      <c r="Z14" s="325"/>
      <c r="AA14" s="323"/>
      <c r="AB14" s="325"/>
      <c r="AC14" s="323"/>
      <c r="AD14" s="325"/>
      <c r="AE14" s="323"/>
      <c r="AF14" s="325"/>
      <c r="AG14" s="323"/>
      <c r="AH14" s="325"/>
      <c r="AI14" s="323"/>
      <c r="AJ14" s="325"/>
      <c r="AK14" s="323"/>
      <c r="AL14" s="325"/>
      <c r="AM14" s="323"/>
      <c r="AN14" s="325"/>
      <c r="AO14" s="323"/>
      <c r="AP14" s="325"/>
      <c r="AQ14" s="327"/>
      <c r="AR14" s="328"/>
      <c r="AS14" s="329"/>
      <c r="AT14" s="330"/>
      <c r="AU14" s="327"/>
      <c r="AV14" s="334"/>
      <c r="AW14" s="14"/>
      <c r="AX14" s="14"/>
      <c r="AY14" s="14"/>
      <c r="AZ14" s="14"/>
      <c r="BA14" s="14"/>
      <c r="BB14" s="14"/>
      <c r="BC14" s="14"/>
      <c r="BD14" s="14"/>
      <c r="BE14" s="14"/>
      <c r="BF14" s="14"/>
      <c r="BG14" s="14"/>
      <c r="BH14" s="14"/>
    </row>
    <row r="15" spans="1:60" ht="12.75">
      <c r="A15" s="112">
        <f>IF(ISTEXT(Alternatives!B15),Alternatives!B15,"")</f>
      </c>
      <c r="B15" s="323"/>
      <c r="C15" s="324"/>
      <c r="D15" s="324"/>
      <c r="E15" s="324"/>
      <c r="F15" s="325"/>
      <c r="G15" s="323"/>
      <c r="H15" s="324"/>
      <c r="I15" s="324"/>
      <c r="J15" s="324"/>
      <c r="K15" s="325"/>
      <c r="L15" s="323"/>
      <c r="M15" s="324"/>
      <c r="N15" s="324"/>
      <c r="O15" s="324"/>
      <c r="P15" s="325"/>
      <c r="Q15" s="323"/>
      <c r="R15" s="324"/>
      <c r="S15" s="324"/>
      <c r="T15" s="324"/>
      <c r="U15" s="325"/>
      <c r="V15" s="326"/>
      <c r="W15" s="326"/>
      <c r="X15" s="326"/>
      <c r="Y15" s="323"/>
      <c r="Z15" s="325"/>
      <c r="AA15" s="323"/>
      <c r="AB15" s="325"/>
      <c r="AC15" s="323"/>
      <c r="AD15" s="325"/>
      <c r="AE15" s="323"/>
      <c r="AF15" s="325"/>
      <c r="AG15" s="323"/>
      <c r="AH15" s="325"/>
      <c r="AI15" s="323"/>
      <c r="AJ15" s="325"/>
      <c r="AK15" s="323"/>
      <c r="AL15" s="325"/>
      <c r="AM15" s="323"/>
      <c r="AN15" s="325"/>
      <c r="AO15" s="323"/>
      <c r="AP15" s="324"/>
      <c r="AQ15" s="327"/>
      <c r="AR15" s="328"/>
      <c r="AS15" s="329"/>
      <c r="AT15" s="327"/>
      <c r="AU15" s="327"/>
      <c r="AV15" s="335"/>
      <c r="AW15" s="14"/>
      <c r="AX15" s="14"/>
      <c r="AY15" s="14"/>
      <c r="AZ15" s="14"/>
      <c r="BA15" s="14"/>
      <c r="BB15" s="14"/>
      <c r="BC15" s="14"/>
      <c r="BD15" s="14"/>
      <c r="BE15" s="14"/>
      <c r="BF15" s="14"/>
      <c r="BG15" s="14"/>
      <c r="BH15" s="14"/>
    </row>
    <row r="16" spans="1:60" ht="12.75">
      <c r="A16" s="112">
        <f>IF(ISTEXT(Alternatives!B16),Alternatives!B16,"")</f>
      </c>
      <c r="B16" s="323"/>
      <c r="C16" s="324"/>
      <c r="D16" s="324"/>
      <c r="E16" s="324"/>
      <c r="F16" s="325"/>
      <c r="G16" s="323"/>
      <c r="H16" s="324"/>
      <c r="I16" s="324"/>
      <c r="J16" s="324"/>
      <c r="K16" s="325"/>
      <c r="L16" s="323"/>
      <c r="M16" s="324"/>
      <c r="N16" s="324"/>
      <c r="O16" s="324"/>
      <c r="P16" s="325"/>
      <c r="Q16" s="323"/>
      <c r="R16" s="324"/>
      <c r="S16" s="324"/>
      <c r="T16" s="324"/>
      <c r="U16" s="325"/>
      <c r="V16" s="326"/>
      <c r="W16" s="326"/>
      <c r="X16" s="326"/>
      <c r="Y16" s="323"/>
      <c r="Z16" s="325"/>
      <c r="AA16" s="323"/>
      <c r="AB16" s="325"/>
      <c r="AC16" s="323"/>
      <c r="AD16" s="325"/>
      <c r="AE16" s="323"/>
      <c r="AF16" s="325"/>
      <c r="AG16" s="323"/>
      <c r="AH16" s="325"/>
      <c r="AI16" s="323"/>
      <c r="AJ16" s="325"/>
      <c r="AK16" s="323"/>
      <c r="AL16" s="325"/>
      <c r="AM16" s="323"/>
      <c r="AN16" s="325"/>
      <c r="AO16" s="323"/>
      <c r="AP16" s="324"/>
      <c r="AQ16" s="327"/>
      <c r="AR16" s="328"/>
      <c r="AS16" s="329"/>
      <c r="AT16" s="327"/>
      <c r="AU16" s="327"/>
      <c r="AV16" s="335"/>
      <c r="AW16" s="14"/>
      <c r="AX16" s="14"/>
      <c r="AY16" s="14"/>
      <c r="AZ16" s="14"/>
      <c r="BA16" s="14"/>
      <c r="BB16" s="14"/>
      <c r="BC16" s="14"/>
      <c r="BD16" s="14"/>
      <c r="BE16" s="14"/>
      <c r="BF16" s="14"/>
      <c r="BG16" s="14"/>
      <c r="BH16" s="14"/>
    </row>
    <row r="17" spans="1:60" ht="12.75">
      <c r="A17" s="112">
        <f>IF(ISTEXT(Alternatives!B17),Alternatives!B17,"")</f>
      </c>
      <c r="B17" s="323"/>
      <c r="C17" s="324"/>
      <c r="D17" s="324"/>
      <c r="E17" s="324"/>
      <c r="F17" s="325"/>
      <c r="G17" s="323"/>
      <c r="H17" s="324"/>
      <c r="I17" s="324"/>
      <c r="J17" s="324"/>
      <c r="K17" s="325"/>
      <c r="L17" s="323"/>
      <c r="M17" s="324"/>
      <c r="N17" s="324"/>
      <c r="O17" s="324"/>
      <c r="P17" s="325"/>
      <c r="Q17" s="323"/>
      <c r="R17" s="324"/>
      <c r="S17" s="324"/>
      <c r="T17" s="324"/>
      <c r="U17" s="325"/>
      <c r="V17" s="326"/>
      <c r="W17" s="326"/>
      <c r="X17" s="326"/>
      <c r="Y17" s="323"/>
      <c r="Z17" s="325"/>
      <c r="AA17" s="323"/>
      <c r="AB17" s="325"/>
      <c r="AC17" s="323"/>
      <c r="AD17" s="325"/>
      <c r="AE17" s="323"/>
      <c r="AF17" s="325"/>
      <c r="AG17" s="323"/>
      <c r="AH17" s="325"/>
      <c r="AI17" s="323"/>
      <c r="AJ17" s="325"/>
      <c r="AK17" s="323"/>
      <c r="AL17" s="325"/>
      <c r="AM17" s="323"/>
      <c r="AN17" s="325"/>
      <c r="AO17" s="323"/>
      <c r="AP17" s="324"/>
      <c r="AQ17" s="327"/>
      <c r="AR17" s="328"/>
      <c r="AS17" s="329"/>
      <c r="AT17" s="327"/>
      <c r="AU17" s="327"/>
      <c r="AV17" s="335"/>
      <c r="AW17" s="14"/>
      <c r="AX17" s="14"/>
      <c r="AY17" s="14"/>
      <c r="AZ17" s="14"/>
      <c r="BA17" s="14"/>
      <c r="BB17" s="14"/>
      <c r="BC17" s="14"/>
      <c r="BD17" s="14"/>
      <c r="BE17" s="14"/>
      <c r="BF17" s="14"/>
      <c r="BG17" s="14"/>
      <c r="BH17" s="14"/>
    </row>
    <row r="18" spans="1:60" ht="12.75">
      <c r="A18" s="112">
        <f>IF(ISTEXT(Alternatives!B18),Alternatives!B18,"")</f>
      </c>
      <c r="B18" s="323"/>
      <c r="C18" s="324"/>
      <c r="D18" s="324"/>
      <c r="E18" s="324"/>
      <c r="F18" s="325"/>
      <c r="G18" s="323"/>
      <c r="H18" s="324"/>
      <c r="I18" s="324"/>
      <c r="J18" s="324"/>
      <c r="K18" s="325"/>
      <c r="L18" s="323"/>
      <c r="M18" s="324"/>
      <c r="N18" s="324"/>
      <c r="O18" s="324"/>
      <c r="P18" s="325"/>
      <c r="Q18" s="323"/>
      <c r="R18" s="324"/>
      <c r="S18" s="324"/>
      <c r="T18" s="324"/>
      <c r="U18" s="325"/>
      <c r="V18" s="326"/>
      <c r="W18" s="326"/>
      <c r="X18" s="326"/>
      <c r="Y18" s="323"/>
      <c r="Z18" s="325"/>
      <c r="AA18" s="323"/>
      <c r="AB18" s="325"/>
      <c r="AC18" s="323"/>
      <c r="AD18" s="325"/>
      <c r="AE18" s="323"/>
      <c r="AF18" s="325"/>
      <c r="AG18" s="323"/>
      <c r="AH18" s="325"/>
      <c r="AI18" s="323"/>
      <c r="AJ18" s="325"/>
      <c r="AK18" s="323"/>
      <c r="AL18" s="325"/>
      <c r="AM18" s="323"/>
      <c r="AN18" s="325"/>
      <c r="AO18" s="323"/>
      <c r="AP18" s="324"/>
      <c r="AQ18" s="327"/>
      <c r="AR18" s="328"/>
      <c r="AS18" s="329"/>
      <c r="AT18" s="327"/>
      <c r="AU18" s="327"/>
      <c r="AV18" s="335"/>
      <c r="AW18" s="14"/>
      <c r="AX18" s="14"/>
      <c r="AY18" s="14"/>
      <c r="AZ18" s="14"/>
      <c r="BA18" s="14"/>
      <c r="BB18" s="14"/>
      <c r="BC18" s="14"/>
      <c r="BD18" s="14"/>
      <c r="BE18" s="14"/>
      <c r="BF18" s="14"/>
      <c r="BG18" s="14"/>
      <c r="BH18" s="14"/>
    </row>
    <row r="19" spans="1:60" ht="12.75">
      <c r="A19" s="112">
        <f>IF(ISTEXT(Alternatives!B19),Alternatives!B19,"")</f>
      </c>
      <c r="B19" s="323"/>
      <c r="C19" s="324"/>
      <c r="D19" s="324"/>
      <c r="E19" s="324"/>
      <c r="F19" s="325"/>
      <c r="G19" s="323"/>
      <c r="H19" s="324"/>
      <c r="I19" s="324"/>
      <c r="J19" s="324"/>
      <c r="K19" s="325"/>
      <c r="L19" s="323"/>
      <c r="M19" s="324"/>
      <c r="N19" s="324"/>
      <c r="O19" s="324"/>
      <c r="P19" s="325"/>
      <c r="Q19" s="323"/>
      <c r="R19" s="324"/>
      <c r="S19" s="324"/>
      <c r="T19" s="324"/>
      <c r="U19" s="325"/>
      <c r="V19" s="326"/>
      <c r="W19" s="326"/>
      <c r="X19" s="326"/>
      <c r="Y19" s="323"/>
      <c r="Z19" s="325"/>
      <c r="AA19" s="323"/>
      <c r="AB19" s="325"/>
      <c r="AC19" s="323"/>
      <c r="AD19" s="325"/>
      <c r="AE19" s="323"/>
      <c r="AF19" s="325"/>
      <c r="AG19" s="323"/>
      <c r="AH19" s="325"/>
      <c r="AI19" s="323"/>
      <c r="AJ19" s="325"/>
      <c r="AK19" s="323"/>
      <c r="AL19" s="325"/>
      <c r="AM19" s="323"/>
      <c r="AN19" s="325"/>
      <c r="AO19" s="323"/>
      <c r="AP19" s="324"/>
      <c r="AQ19" s="327"/>
      <c r="AR19" s="328"/>
      <c r="AS19" s="329"/>
      <c r="AT19" s="327"/>
      <c r="AU19" s="327"/>
      <c r="AV19" s="335"/>
      <c r="AW19" s="14"/>
      <c r="AX19" s="14"/>
      <c r="AY19" s="14"/>
      <c r="AZ19" s="14"/>
      <c r="BA19" s="14"/>
      <c r="BB19" s="14"/>
      <c r="BC19" s="14"/>
      <c r="BD19" s="14"/>
      <c r="BE19" s="14"/>
      <c r="BF19" s="14"/>
      <c r="BG19" s="14"/>
      <c r="BH19" s="14"/>
    </row>
    <row r="20" spans="1:60" ht="12.75">
      <c r="A20" s="112">
        <f>IF(ISTEXT(Alternatives!B20),Alternatives!B20,"")</f>
      </c>
      <c r="B20" s="323"/>
      <c r="C20" s="324"/>
      <c r="D20" s="324"/>
      <c r="E20" s="324"/>
      <c r="F20" s="325"/>
      <c r="G20" s="323"/>
      <c r="H20" s="324"/>
      <c r="I20" s="324"/>
      <c r="J20" s="324"/>
      <c r="K20" s="325"/>
      <c r="L20" s="323"/>
      <c r="M20" s="324"/>
      <c r="N20" s="324"/>
      <c r="O20" s="324"/>
      <c r="P20" s="325"/>
      <c r="Q20" s="323"/>
      <c r="R20" s="324"/>
      <c r="S20" s="324"/>
      <c r="T20" s="324"/>
      <c r="U20" s="325"/>
      <c r="V20" s="326"/>
      <c r="W20" s="326"/>
      <c r="X20" s="326"/>
      <c r="Y20" s="323"/>
      <c r="Z20" s="325"/>
      <c r="AA20" s="323"/>
      <c r="AB20" s="325"/>
      <c r="AC20" s="323"/>
      <c r="AD20" s="325"/>
      <c r="AE20" s="323"/>
      <c r="AF20" s="325"/>
      <c r="AG20" s="323"/>
      <c r="AH20" s="325"/>
      <c r="AI20" s="323"/>
      <c r="AJ20" s="325"/>
      <c r="AK20" s="323"/>
      <c r="AL20" s="325"/>
      <c r="AM20" s="323"/>
      <c r="AN20" s="325"/>
      <c r="AO20" s="323"/>
      <c r="AP20" s="324"/>
      <c r="AQ20" s="327"/>
      <c r="AR20" s="328"/>
      <c r="AS20" s="329"/>
      <c r="AT20" s="327"/>
      <c r="AU20" s="327"/>
      <c r="AV20" s="335"/>
      <c r="AW20" s="14"/>
      <c r="AX20" s="14"/>
      <c r="AY20" s="14"/>
      <c r="AZ20" s="14"/>
      <c r="BA20" s="14"/>
      <c r="BB20" s="14"/>
      <c r="BC20" s="14"/>
      <c r="BD20" s="14"/>
      <c r="BE20" s="14"/>
      <c r="BF20" s="14"/>
      <c r="BG20" s="14"/>
      <c r="BH20" s="14"/>
    </row>
    <row r="21" spans="1:60" ht="12.75">
      <c r="A21" s="112">
        <f>IF(ISTEXT(Alternatives!B21),Alternatives!B21,"")</f>
      </c>
      <c r="B21" s="323"/>
      <c r="C21" s="324"/>
      <c r="D21" s="324"/>
      <c r="E21" s="324"/>
      <c r="F21" s="325"/>
      <c r="G21" s="323"/>
      <c r="H21" s="324"/>
      <c r="I21" s="324"/>
      <c r="J21" s="324"/>
      <c r="K21" s="325"/>
      <c r="L21" s="323"/>
      <c r="M21" s="324"/>
      <c r="N21" s="324"/>
      <c r="O21" s="324"/>
      <c r="P21" s="325"/>
      <c r="Q21" s="323"/>
      <c r="R21" s="324"/>
      <c r="S21" s="324"/>
      <c r="T21" s="324"/>
      <c r="U21" s="325"/>
      <c r="V21" s="326"/>
      <c r="W21" s="326"/>
      <c r="X21" s="326"/>
      <c r="Y21" s="323"/>
      <c r="Z21" s="325"/>
      <c r="AA21" s="323"/>
      <c r="AB21" s="325"/>
      <c r="AC21" s="323"/>
      <c r="AD21" s="325"/>
      <c r="AE21" s="323"/>
      <c r="AF21" s="325"/>
      <c r="AG21" s="323"/>
      <c r="AH21" s="325"/>
      <c r="AI21" s="323"/>
      <c r="AJ21" s="325"/>
      <c r="AK21" s="323"/>
      <c r="AL21" s="325"/>
      <c r="AM21" s="323"/>
      <c r="AN21" s="325"/>
      <c r="AO21" s="323"/>
      <c r="AP21" s="324"/>
      <c r="AQ21" s="327"/>
      <c r="AR21" s="328"/>
      <c r="AS21" s="329"/>
      <c r="AT21" s="327"/>
      <c r="AU21" s="327"/>
      <c r="AV21" s="335"/>
      <c r="AW21" s="14"/>
      <c r="AX21" s="14"/>
      <c r="AY21" s="14"/>
      <c r="AZ21" s="14"/>
      <c r="BA21" s="14"/>
      <c r="BB21" s="14"/>
      <c r="BC21" s="14"/>
      <c r="BD21" s="14"/>
      <c r="BE21" s="14"/>
      <c r="BF21" s="14"/>
      <c r="BG21" s="14"/>
      <c r="BH21" s="14"/>
    </row>
    <row r="22" spans="1:60" ht="12.75">
      <c r="A22" s="112">
        <f>IF(ISTEXT(Alternatives!B22),Alternatives!B22,"")</f>
      </c>
      <c r="B22" s="323"/>
      <c r="C22" s="324"/>
      <c r="D22" s="324"/>
      <c r="E22" s="324"/>
      <c r="F22" s="325"/>
      <c r="G22" s="323"/>
      <c r="H22" s="324"/>
      <c r="I22" s="324"/>
      <c r="J22" s="324"/>
      <c r="K22" s="325"/>
      <c r="L22" s="323"/>
      <c r="M22" s="324"/>
      <c r="N22" s="324"/>
      <c r="O22" s="324"/>
      <c r="P22" s="325"/>
      <c r="Q22" s="323"/>
      <c r="R22" s="324"/>
      <c r="S22" s="324"/>
      <c r="T22" s="324"/>
      <c r="U22" s="325"/>
      <c r="V22" s="326"/>
      <c r="W22" s="326"/>
      <c r="X22" s="326"/>
      <c r="Y22" s="323"/>
      <c r="Z22" s="325"/>
      <c r="AA22" s="323"/>
      <c r="AB22" s="325"/>
      <c r="AC22" s="323"/>
      <c r="AD22" s="325"/>
      <c r="AE22" s="323"/>
      <c r="AF22" s="325"/>
      <c r="AG22" s="323"/>
      <c r="AH22" s="325"/>
      <c r="AI22" s="323"/>
      <c r="AJ22" s="325"/>
      <c r="AK22" s="323"/>
      <c r="AL22" s="325"/>
      <c r="AM22" s="323"/>
      <c r="AN22" s="325"/>
      <c r="AO22" s="323"/>
      <c r="AP22" s="324"/>
      <c r="AQ22" s="327"/>
      <c r="AR22" s="328"/>
      <c r="AS22" s="329"/>
      <c r="AT22" s="327"/>
      <c r="AU22" s="327"/>
      <c r="AV22" s="335"/>
      <c r="AW22" s="14"/>
      <c r="AX22" s="14"/>
      <c r="AY22" s="14"/>
      <c r="AZ22" s="14"/>
      <c r="BA22" s="14"/>
      <c r="BB22" s="14"/>
      <c r="BC22" s="14"/>
      <c r="BD22" s="14"/>
      <c r="BE22" s="14"/>
      <c r="BF22" s="14"/>
      <c r="BG22" s="14"/>
      <c r="BH22" s="14"/>
    </row>
    <row r="23" spans="1:60" ht="12.75">
      <c r="A23" s="112">
        <f>IF(ISTEXT(Alternatives!B23),Alternatives!B23,"")</f>
      </c>
      <c r="B23" s="323"/>
      <c r="C23" s="324"/>
      <c r="D23" s="324"/>
      <c r="E23" s="324"/>
      <c r="F23" s="325"/>
      <c r="G23" s="323"/>
      <c r="H23" s="324"/>
      <c r="I23" s="324"/>
      <c r="J23" s="324"/>
      <c r="K23" s="325"/>
      <c r="L23" s="323"/>
      <c r="M23" s="324"/>
      <c r="N23" s="324"/>
      <c r="O23" s="324"/>
      <c r="P23" s="325"/>
      <c r="Q23" s="323"/>
      <c r="R23" s="324"/>
      <c r="S23" s="324"/>
      <c r="T23" s="324"/>
      <c r="U23" s="325"/>
      <c r="V23" s="326"/>
      <c r="W23" s="326"/>
      <c r="X23" s="326"/>
      <c r="Y23" s="323"/>
      <c r="Z23" s="325"/>
      <c r="AA23" s="323"/>
      <c r="AB23" s="325"/>
      <c r="AC23" s="323"/>
      <c r="AD23" s="325"/>
      <c r="AE23" s="323"/>
      <c r="AF23" s="325"/>
      <c r="AG23" s="323"/>
      <c r="AH23" s="325"/>
      <c r="AI23" s="323"/>
      <c r="AJ23" s="325"/>
      <c r="AK23" s="323"/>
      <c r="AL23" s="325"/>
      <c r="AM23" s="323"/>
      <c r="AN23" s="325"/>
      <c r="AO23" s="323"/>
      <c r="AP23" s="324"/>
      <c r="AQ23" s="327"/>
      <c r="AR23" s="328"/>
      <c r="AS23" s="329"/>
      <c r="AT23" s="327"/>
      <c r="AU23" s="327"/>
      <c r="AV23" s="335"/>
      <c r="AW23" s="14"/>
      <c r="AX23" s="14"/>
      <c r="AY23" s="14"/>
      <c r="AZ23" s="14"/>
      <c r="BA23" s="14"/>
      <c r="BB23" s="14"/>
      <c r="BC23" s="14"/>
      <c r="BD23" s="14"/>
      <c r="BE23" s="14"/>
      <c r="BF23" s="14"/>
      <c r="BG23" s="14"/>
      <c r="BH23" s="14"/>
    </row>
    <row r="24" spans="1:60" ht="12.75">
      <c r="A24" s="112">
        <f>IF(ISTEXT(Alternatives!B24),Alternatives!B24,"")</f>
      </c>
      <c r="B24" s="336"/>
      <c r="C24" s="337"/>
      <c r="D24" s="337"/>
      <c r="E24" s="337"/>
      <c r="F24" s="338"/>
      <c r="G24" s="336"/>
      <c r="H24" s="337"/>
      <c r="I24" s="337"/>
      <c r="J24" s="337"/>
      <c r="K24" s="338"/>
      <c r="L24" s="336"/>
      <c r="M24" s="337"/>
      <c r="N24" s="337"/>
      <c r="O24" s="337"/>
      <c r="P24" s="338"/>
      <c r="Q24" s="336"/>
      <c r="R24" s="337"/>
      <c r="S24" s="337"/>
      <c r="T24" s="337"/>
      <c r="U24" s="338"/>
      <c r="V24" s="339"/>
      <c r="W24" s="339"/>
      <c r="X24" s="339"/>
      <c r="Y24" s="336"/>
      <c r="Z24" s="338"/>
      <c r="AA24" s="336"/>
      <c r="AB24" s="338"/>
      <c r="AC24" s="336"/>
      <c r="AD24" s="338"/>
      <c r="AE24" s="336"/>
      <c r="AF24" s="338"/>
      <c r="AG24" s="336"/>
      <c r="AH24" s="338"/>
      <c r="AI24" s="336"/>
      <c r="AJ24" s="338"/>
      <c r="AK24" s="336"/>
      <c r="AL24" s="338"/>
      <c r="AM24" s="336"/>
      <c r="AN24" s="338"/>
      <c r="AO24" s="336"/>
      <c r="AP24" s="337"/>
      <c r="AQ24" s="340"/>
      <c r="AR24" s="341"/>
      <c r="AS24" s="342"/>
      <c r="AT24" s="340"/>
      <c r="AU24" s="340"/>
      <c r="AV24" s="343"/>
      <c r="AW24" s="14"/>
      <c r="AX24" s="14"/>
      <c r="AY24" s="14"/>
      <c r="AZ24" s="14"/>
      <c r="BA24" s="14"/>
      <c r="BB24" s="14"/>
      <c r="BC24" s="14"/>
      <c r="BD24" s="14"/>
      <c r="BE24" s="14"/>
      <c r="BF24" s="14"/>
      <c r="BG24" s="14"/>
      <c r="BH24" s="14"/>
    </row>
    <row r="25" spans="1:60" ht="12.75">
      <c r="A25" s="8">
        <v>1</v>
      </c>
      <c r="B25" s="8">
        <v>2</v>
      </c>
      <c r="C25" s="8">
        <v>3</v>
      </c>
      <c r="D25" s="8">
        <v>4</v>
      </c>
      <c r="E25" s="8">
        <v>5</v>
      </c>
      <c r="F25" s="8">
        <v>6</v>
      </c>
      <c r="G25" s="8">
        <v>7</v>
      </c>
      <c r="H25" s="8">
        <v>8</v>
      </c>
      <c r="I25" s="8">
        <v>9</v>
      </c>
      <c r="J25" s="8">
        <v>10</v>
      </c>
      <c r="K25" s="8">
        <v>11</v>
      </c>
      <c r="L25" s="8">
        <v>12</v>
      </c>
      <c r="M25" s="8">
        <v>13</v>
      </c>
      <c r="N25" s="8">
        <v>14</v>
      </c>
      <c r="O25" s="8">
        <v>15</v>
      </c>
      <c r="P25" s="8">
        <v>16</v>
      </c>
      <c r="Q25" s="8">
        <v>17</v>
      </c>
      <c r="R25" s="8">
        <v>18</v>
      </c>
      <c r="S25" s="8">
        <v>19</v>
      </c>
      <c r="T25" s="8">
        <v>20</v>
      </c>
      <c r="U25" s="8">
        <v>21</v>
      </c>
      <c r="V25" s="8">
        <v>22</v>
      </c>
      <c r="W25" s="8">
        <v>23</v>
      </c>
      <c r="X25" s="8">
        <v>24</v>
      </c>
      <c r="Y25" s="8">
        <v>25</v>
      </c>
      <c r="Z25" s="8">
        <v>26</v>
      </c>
      <c r="AA25" s="8">
        <v>27</v>
      </c>
      <c r="AB25" s="8">
        <v>28</v>
      </c>
      <c r="AC25" s="8">
        <v>29</v>
      </c>
      <c r="AD25" s="8">
        <v>30</v>
      </c>
      <c r="AE25" s="8">
        <v>31</v>
      </c>
      <c r="AF25" s="8">
        <v>32</v>
      </c>
      <c r="AG25" s="8">
        <v>33</v>
      </c>
      <c r="AH25" s="8">
        <v>34</v>
      </c>
      <c r="AI25" s="8">
        <v>35</v>
      </c>
      <c r="AJ25" s="8">
        <v>36</v>
      </c>
      <c r="AK25" s="8">
        <v>37</v>
      </c>
      <c r="AL25" s="8">
        <v>38</v>
      </c>
      <c r="AM25" s="8">
        <v>39</v>
      </c>
      <c r="AN25" s="8">
        <v>40</v>
      </c>
      <c r="AO25" s="8">
        <v>41</v>
      </c>
      <c r="AP25" s="8">
        <v>42</v>
      </c>
      <c r="AQ25" s="8">
        <v>43</v>
      </c>
      <c r="AR25" s="8">
        <v>44</v>
      </c>
      <c r="AS25" s="8">
        <v>45</v>
      </c>
      <c r="AT25" s="8">
        <v>46</v>
      </c>
      <c r="AU25" s="8">
        <v>47</v>
      </c>
      <c r="AV25" s="8">
        <v>48</v>
      </c>
      <c r="AW25" s="70"/>
      <c r="AY25" s="70"/>
      <c r="BA25" s="70"/>
      <c r="BB25"/>
      <c r="BC25" s="70"/>
      <c r="BD25"/>
      <c r="BE25" s="70"/>
      <c r="BF25"/>
      <c r="BG25" s="70"/>
      <c r="BH25"/>
    </row>
    <row r="26" spans="1:60" ht="12.75">
      <c r="A26" s="111" t="s">
        <v>115</v>
      </c>
      <c r="B26" s="114"/>
      <c r="C26" s="94"/>
      <c r="D26" s="94"/>
      <c r="E26" s="94"/>
      <c r="F26" s="95"/>
      <c r="G26" s="93"/>
      <c r="H26" s="94"/>
      <c r="I26" s="94"/>
      <c r="J26" s="94"/>
      <c r="K26" s="95"/>
      <c r="L26" s="93"/>
      <c r="M26" s="94"/>
      <c r="N26" s="94"/>
      <c r="O26" s="94"/>
      <c r="P26" s="95"/>
      <c r="Q26" s="93"/>
      <c r="R26" s="94"/>
      <c r="S26" s="94"/>
      <c r="T26" s="94"/>
      <c r="U26" s="95"/>
      <c r="V26" s="93"/>
      <c r="W26" s="94"/>
      <c r="X26" s="95"/>
      <c r="Y26" s="93"/>
      <c r="Z26" s="95"/>
      <c r="AA26" s="93"/>
      <c r="AB26" s="95"/>
      <c r="AC26" s="93"/>
      <c r="AD26" s="95"/>
      <c r="AE26" s="93"/>
      <c r="AF26" s="95"/>
      <c r="AG26" s="93"/>
      <c r="AH26" s="95"/>
      <c r="AI26" s="93"/>
      <c r="AJ26" s="95"/>
      <c r="AK26" s="93"/>
      <c r="AL26" s="95"/>
      <c r="AM26" s="93"/>
      <c r="AN26" s="95"/>
      <c r="AO26" s="93"/>
      <c r="AP26" s="94"/>
      <c r="AQ26" s="96"/>
      <c r="AR26" s="159" t="s">
        <v>205</v>
      </c>
      <c r="AS26" s="96"/>
      <c r="AT26" s="96"/>
      <c r="AU26" s="96"/>
      <c r="AV26" s="96"/>
      <c r="AW26" s="4"/>
      <c r="AX26" s="4" t="s">
        <v>226</v>
      </c>
      <c r="AY26" s="4" t="s">
        <v>227</v>
      </c>
      <c r="AZ26" s="384" t="s">
        <v>345</v>
      </c>
      <c r="BA26" s="14"/>
      <c r="BB26" s="14"/>
      <c r="BC26" s="14"/>
      <c r="BD26" s="14"/>
      <c r="BE26" s="14"/>
      <c r="BF26" s="14"/>
      <c r="BG26" s="14"/>
      <c r="BH26" s="14"/>
    </row>
    <row r="27" spans="1:60" ht="12.75">
      <c r="A27" s="112" t="str">
        <f>A5</f>
        <v>No action</v>
      </c>
      <c r="B27" s="139">
        <f aca="true" t="shared" si="0" ref="B27:B46">IF(B5&gt;0,LOOKUP(B5,L_exposure),0)</f>
        <v>0.01</v>
      </c>
      <c r="C27" s="134">
        <f aca="true" t="shared" si="1" ref="C27:C46">IF(C5&gt;0,LOOKUP(C5,Num_exposed),0)</f>
        <v>100</v>
      </c>
      <c r="D27" s="134">
        <f aca="true" t="shared" si="2" ref="D27:D46">IF(D5&gt;0,LOOKUP(D5,T_exposed),0)</f>
        <v>15</v>
      </c>
      <c r="E27" s="134">
        <f aca="true" t="shared" si="3" ref="E27:E46">IF(E5&gt;0,LOOKUP(E5,L_HealthImpact),0)</f>
        <v>1E-05</v>
      </c>
      <c r="F27" s="137">
        <f aca="true" t="shared" si="4" ref="F27:F46">IF(F5&gt;0,LOOKUP(F5,S_health),0)</f>
        <v>100</v>
      </c>
      <c r="G27" s="139">
        <f aca="true" t="shared" si="5" ref="G27:G46">IF(G5&gt;0,LOOKUP(G5,L_exposure),0)</f>
        <v>0</v>
      </c>
      <c r="H27" s="134">
        <f aca="true" t="shared" si="6" ref="H27:H46">IF(H5&gt;0,LOOKUP(H5,Num_exposed),0)</f>
        <v>0</v>
      </c>
      <c r="I27" s="134">
        <f aca="true" t="shared" si="7" ref="I27:I46">IF(I5&gt;0,LOOKUP(I5,T_exposed),0)</f>
        <v>0</v>
      </c>
      <c r="J27" s="134">
        <f aca="true" t="shared" si="8" ref="J27:J46">IF(J5&gt;0,LOOKUP(J5,L_HealthImpact),0)</f>
        <v>0</v>
      </c>
      <c r="K27" s="137">
        <f aca="true" t="shared" si="9" ref="K27:K46">IF(K5&gt;0,LOOKUP(K5,S_health),0)</f>
        <v>0</v>
      </c>
      <c r="L27" s="139">
        <f aca="true" t="shared" si="10" ref="L27:L46">IF(L5&gt;0,LOOKUP(L5,L_exposure),0)</f>
        <v>0.01</v>
      </c>
      <c r="M27" s="134">
        <f aca="true" t="shared" si="11" ref="M27:M46">IF(M5&gt;0,LOOKUP(M5,Num_exposed),0)</f>
        <v>100</v>
      </c>
      <c r="N27" s="134">
        <f aca="true" t="shared" si="12" ref="N27:N46">IF(N5&gt;0,LOOKUP(N5,T_exposed),0)</f>
        <v>15</v>
      </c>
      <c r="O27" s="134">
        <f aca="true" t="shared" si="13" ref="O27:O46">IF(O5&gt;0,LOOKUP(O5,L_HealthImpact),0)</f>
        <v>0</v>
      </c>
      <c r="P27" s="137">
        <f aca="true" t="shared" si="14" ref="P27:P46">IF(P5&gt;0,LOOKUP(P5,S_health),0)</f>
        <v>0</v>
      </c>
      <c r="Q27" s="139">
        <f aca="true" t="shared" si="15" ref="Q27:Q46">IF(Q5&gt;0,LOOKUP(Q5,L_exposure),0)</f>
        <v>0</v>
      </c>
      <c r="R27" s="134">
        <f aca="true" t="shared" si="16" ref="R27:R46">IF(R5&gt;0,LOOKUP(R5,Num_exposed),0)</f>
        <v>0</v>
      </c>
      <c r="S27" s="134">
        <f aca="true" t="shared" si="17" ref="S27:S46">IF(S5&gt;0,LOOKUP(S5,T_exposed),0)</f>
        <v>0</v>
      </c>
      <c r="T27" s="134">
        <f aca="true" t="shared" si="18" ref="T27:T46">IF(T5&gt;0,LOOKUP(T5,L_HealthImpact),0)</f>
        <v>0</v>
      </c>
      <c r="U27" s="137">
        <f aca="true" t="shared" si="19" ref="U27:U46">IF(U5&gt;0,LOOKUP(U5,S_health),0)</f>
        <v>0</v>
      </c>
      <c r="V27" s="140">
        <f aca="true" t="shared" si="20" ref="V27:V46">IF(V5&gt;0,LOOKUP(V5,L_Wexp),0)</f>
        <v>0</v>
      </c>
      <c r="W27" s="119">
        <f aca="true" t="shared" si="21" ref="W27:W35">IF(W5&gt;0,LOOKUP(W5,Num_Wexp),0)</f>
        <v>0</v>
      </c>
      <c r="X27" s="69">
        <f aca="true" t="shared" si="22" ref="X27:X46">IF(X5&gt;0,LOOKUP(X5,S_Whealth),0)</f>
        <v>0</v>
      </c>
      <c r="Y27" s="139">
        <f aca="true" t="shared" si="23" ref="Y27:Y46">IF(Y5&gt;0,LOOKUP(Y5,L_env),0)</f>
        <v>0</v>
      </c>
      <c r="Z27" s="137">
        <f aca="true" t="shared" si="24" ref="Z27:Z46">IF(Z5&gt;0,LOOKUP(Z5,S_env),0)</f>
        <v>0</v>
      </c>
      <c r="AA27" s="139">
        <f aca="true" t="shared" si="25" ref="AA27:AA46">IF(AA5&gt;0,LOOKUP(AA5,L_env),0)</f>
        <v>0.95</v>
      </c>
      <c r="AB27" s="137">
        <f aca="true" t="shared" si="26" ref="AB27:AB46">IF(AB5&gt;0,LOOKUP(AB5,S_env),0)</f>
        <v>25</v>
      </c>
      <c r="AC27" s="139">
        <f aca="true" t="shared" si="27" ref="AC27:AC46">IF(AC5&gt;0,LOOKUP(AC5,L_env),0)</f>
        <v>0</v>
      </c>
      <c r="AD27" s="137">
        <f aca="true" t="shared" si="28" ref="AD27:AD46">IF(AD5&gt;0,LOOKUP(AD5,S_env),0)</f>
        <v>0</v>
      </c>
      <c r="AE27" s="139">
        <f aca="true" t="shared" si="29" ref="AE27:AE46">IF(AE5&gt;0,LOOKUP(AE5,L_env),0)</f>
        <v>0</v>
      </c>
      <c r="AF27" s="137">
        <f aca="true" t="shared" si="30" ref="AF27:AF46">IF(AF5&gt;0,LOOKUP(AF5,S_env),0)</f>
        <v>0</v>
      </c>
      <c r="AG27" s="139">
        <f aca="true" t="shared" si="31" ref="AG27:AG46">IF(AG5&gt;0,LOOKUP(AG5,L_env),0)</f>
        <v>0</v>
      </c>
      <c r="AH27" s="137">
        <f aca="true" t="shared" si="32" ref="AH27:AH46">IF(AH5&gt;0,LOOKUP(AH5,S_env),0)</f>
        <v>0</v>
      </c>
      <c r="AI27" s="139">
        <f aca="true" t="shared" si="33" ref="AI27:AI46">IF(AI5&gt;0,LOOKUP(AI5,L_env),0)</f>
        <v>0</v>
      </c>
      <c r="AJ27" s="137">
        <f aca="true" t="shared" si="34" ref="AJ27:AJ46">IF(AJ5&gt;0,LOOKUP(AJ5,S_env),0)</f>
        <v>0</v>
      </c>
      <c r="AK27" s="139">
        <f aca="true" t="shared" si="35" ref="AK27:AK46">IF(AK5&gt;0,LOOKUP(AK5,L_env),0)</f>
        <v>0</v>
      </c>
      <c r="AL27" s="137">
        <f aca="true" t="shared" si="36" ref="AL27:AL46">IF(AL5&gt;0,LOOKUP(AL5,S_env),0)</f>
        <v>0</v>
      </c>
      <c r="AM27" s="139">
        <f aca="true" t="shared" si="37" ref="AM27:AM46">IF(AM5&gt;0,LOOKUP(AM5,L_env),0)</f>
        <v>0</v>
      </c>
      <c r="AN27" s="137">
        <f aca="true" t="shared" si="38" ref="AN27:AN46">IF(AN5&gt;0,LOOKUP(AN5,S_env),0)</f>
        <v>0</v>
      </c>
      <c r="AO27" s="139">
        <f aca="true" t="shared" si="39" ref="AO27:AO46">IF(AO5&gt;0,LOOKUP(AO5,L_env),0)</f>
        <v>0</v>
      </c>
      <c r="AP27" s="134">
        <f aca="true" t="shared" si="40" ref="AP27:AP46">IF(AP5&gt;0,LOOKUP(AP5,S_env),0)</f>
        <v>0</v>
      </c>
      <c r="AQ27" s="141">
        <f aca="true" t="shared" si="41" ref="AQ27:AQ46">IF(AQ5&gt;0,LOOKUP(AQ5,RR),0)</f>
        <v>1000000000</v>
      </c>
      <c r="AR27" s="137">
        <f aca="true" t="shared" si="42" ref="AR27:AR46">IF(AR5&gt;7,AR5/5,IF(AR5&gt;0,LOOKUP(AR5,Time_completion),0))</f>
        <v>8.6</v>
      </c>
      <c r="AS27" s="142">
        <f>AS5</f>
        <v>0</v>
      </c>
      <c r="AT27" s="142">
        <f>AT5</f>
        <v>0.039</v>
      </c>
      <c r="AU27" s="141">
        <f aca="true" t="shared" si="43" ref="AU27:AU46">IF(AU5&gt;0,LOOKUP(AU5,Unc_Low),0)</f>
        <v>0.75</v>
      </c>
      <c r="AV27" s="141">
        <f aca="true" t="shared" si="44" ref="AV27:AV46">IF(AV5&gt;0,LOOKUP(AV5,Unc_High),0)</f>
        <v>1.5</v>
      </c>
      <c r="AW27" s="4">
        <f>EXP(AX27+(AY27/2))</f>
        <v>1.0923564863414776</v>
      </c>
      <c r="AX27" s="4">
        <f>0.5*((LN(AU27)+LN(AV27)))</f>
        <v>0.05889151782819174</v>
      </c>
      <c r="AY27" s="4">
        <f>AX27-(LN(1))</f>
        <v>0.05889151782819174</v>
      </c>
      <c r="AZ27" s="361">
        <f>IF(AR5&lt;=7,LOOKUP(AR5,Time_completion_user),AR5*LOOKUP(AR5,'Scaling Functions'!$G$125:$H$131))</f>
        <v>6.142857142857142</v>
      </c>
      <c r="BA27" s="14"/>
      <c r="BB27" s="14"/>
      <c r="BC27" s="14"/>
      <c r="BD27" s="14"/>
      <c r="BE27" s="14"/>
      <c r="BF27" s="14"/>
      <c r="BG27" s="14"/>
      <c r="BH27" s="14"/>
    </row>
    <row r="28" spans="1:60" ht="12.75">
      <c r="A28" s="112" t="str">
        <f aca="true" t="shared" si="45" ref="A28:A46">A6</f>
        <v>MNA in MAAZ &amp; LLAZ</v>
      </c>
      <c r="B28" s="139">
        <f t="shared" si="0"/>
        <v>1E-06</v>
      </c>
      <c r="C28" s="134">
        <f t="shared" si="1"/>
        <v>2</v>
      </c>
      <c r="D28" s="134">
        <f t="shared" si="2"/>
        <v>15</v>
      </c>
      <c r="E28" s="134">
        <f t="shared" si="3"/>
        <v>1E-05</v>
      </c>
      <c r="F28" s="137">
        <f t="shared" si="4"/>
        <v>100</v>
      </c>
      <c r="G28" s="139">
        <f t="shared" si="5"/>
        <v>0</v>
      </c>
      <c r="H28" s="134">
        <f t="shared" si="6"/>
        <v>0</v>
      </c>
      <c r="I28" s="134">
        <f t="shared" si="7"/>
        <v>0</v>
      </c>
      <c r="J28" s="134">
        <f t="shared" si="8"/>
        <v>0</v>
      </c>
      <c r="K28" s="137">
        <f t="shared" si="9"/>
        <v>0</v>
      </c>
      <c r="L28" s="139">
        <f t="shared" si="10"/>
        <v>1E-06</v>
      </c>
      <c r="M28" s="134">
        <f t="shared" si="11"/>
        <v>2</v>
      </c>
      <c r="N28" s="134">
        <f t="shared" si="12"/>
        <v>15</v>
      </c>
      <c r="O28" s="134">
        <f t="shared" si="13"/>
        <v>0</v>
      </c>
      <c r="P28" s="137">
        <f t="shared" si="14"/>
        <v>0</v>
      </c>
      <c r="Q28" s="139">
        <f t="shared" si="15"/>
        <v>0</v>
      </c>
      <c r="R28" s="134">
        <f t="shared" si="16"/>
        <v>0</v>
      </c>
      <c r="S28" s="134">
        <f t="shared" si="17"/>
        <v>0</v>
      </c>
      <c r="T28" s="134">
        <f t="shared" si="18"/>
        <v>0</v>
      </c>
      <c r="U28" s="137">
        <f t="shared" si="19"/>
        <v>0</v>
      </c>
      <c r="V28" s="140">
        <f t="shared" si="20"/>
        <v>0.001</v>
      </c>
      <c r="W28" s="119">
        <f t="shared" si="21"/>
        <v>2</v>
      </c>
      <c r="X28" s="69">
        <f t="shared" si="22"/>
        <v>10</v>
      </c>
      <c r="Y28" s="139">
        <f t="shared" si="23"/>
        <v>0</v>
      </c>
      <c r="Z28" s="137">
        <f t="shared" si="24"/>
        <v>0</v>
      </c>
      <c r="AA28" s="139">
        <f t="shared" si="25"/>
        <v>0.95</v>
      </c>
      <c r="AB28" s="137">
        <f t="shared" si="26"/>
        <v>25</v>
      </c>
      <c r="AC28" s="139">
        <f t="shared" si="27"/>
        <v>0</v>
      </c>
      <c r="AD28" s="137">
        <f t="shared" si="28"/>
        <v>0</v>
      </c>
      <c r="AE28" s="139">
        <f t="shared" si="29"/>
        <v>0</v>
      </c>
      <c r="AF28" s="137">
        <f t="shared" si="30"/>
        <v>0</v>
      </c>
      <c r="AG28" s="139">
        <f t="shared" si="31"/>
        <v>0</v>
      </c>
      <c r="AH28" s="137">
        <f t="shared" si="32"/>
        <v>0</v>
      </c>
      <c r="AI28" s="139">
        <f t="shared" si="33"/>
        <v>0</v>
      </c>
      <c r="AJ28" s="137">
        <f t="shared" si="34"/>
        <v>0</v>
      </c>
      <c r="AK28" s="139">
        <f t="shared" si="35"/>
        <v>0</v>
      </c>
      <c r="AL28" s="137">
        <f t="shared" si="36"/>
        <v>0</v>
      </c>
      <c r="AM28" s="139">
        <f t="shared" si="37"/>
        <v>0</v>
      </c>
      <c r="AN28" s="137">
        <f t="shared" si="38"/>
        <v>0</v>
      </c>
      <c r="AO28" s="139">
        <f t="shared" si="39"/>
        <v>0</v>
      </c>
      <c r="AP28" s="134">
        <f t="shared" si="40"/>
        <v>0</v>
      </c>
      <c r="AQ28" s="141">
        <f t="shared" si="41"/>
        <v>60</v>
      </c>
      <c r="AR28" s="137">
        <f t="shared" si="42"/>
        <v>8.6</v>
      </c>
      <c r="AS28" s="142">
        <f aca="true" t="shared" si="46" ref="AS28:AT46">AS6</f>
        <v>3408000</v>
      </c>
      <c r="AT28" s="142">
        <f t="shared" si="46"/>
        <v>0.039</v>
      </c>
      <c r="AU28" s="141">
        <f t="shared" si="43"/>
        <v>0.75</v>
      </c>
      <c r="AV28" s="141">
        <f t="shared" si="44"/>
        <v>1.5</v>
      </c>
      <c r="AW28" s="4">
        <f aca="true" t="shared" si="47" ref="AW28:AW46">EXP(AX28+(AY28/2))</f>
        <v>1.0923564863414776</v>
      </c>
      <c r="AX28" s="4">
        <f aca="true" t="shared" si="48" ref="AX28:AX46">0.5*((LN(AU28)+LN(AV28)))</f>
        <v>0.05889151782819174</v>
      </c>
      <c r="AY28" s="4">
        <f aca="true" t="shared" si="49" ref="AY28:AY46">AX28-(LN(1))</f>
        <v>0.05889151782819174</v>
      </c>
      <c r="AZ28" s="361">
        <f>IF(AR6&lt;=7,LOOKUP(AR6,Time_completion_user),AR6*LOOKUP(AR6,'Scaling Functions'!$G$125:$H$131))</f>
        <v>6.142857142857142</v>
      </c>
      <c r="BA28" s="14"/>
      <c r="BB28" s="257"/>
      <c r="BC28" s="14"/>
      <c r="BD28" s="14"/>
      <c r="BE28" s="14"/>
      <c r="BF28" s="14"/>
      <c r="BG28" s="14"/>
      <c r="BH28" s="14"/>
    </row>
    <row r="29" spans="1:60" ht="12.75">
      <c r="A29" s="112" t="str">
        <f t="shared" si="45"/>
        <v>Operate existing gw recirc wells to 50 ug/L; MNA in residual</v>
      </c>
      <c r="B29" s="139">
        <f t="shared" si="0"/>
        <v>1E-06</v>
      </c>
      <c r="C29" s="134">
        <f t="shared" si="1"/>
        <v>2</v>
      </c>
      <c r="D29" s="134">
        <f t="shared" si="2"/>
        <v>15</v>
      </c>
      <c r="E29" s="134">
        <f t="shared" si="3"/>
        <v>1E-05</v>
      </c>
      <c r="F29" s="137">
        <f t="shared" si="4"/>
        <v>100</v>
      </c>
      <c r="G29" s="139">
        <f t="shared" si="5"/>
        <v>0</v>
      </c>
      <c r="H29" s="134">
        <f t="shared" si="6"/>
        <v>0</v>
      </c>
      <c r="I29" s="134">
        <f t="shared" si="7"/>
        <v>0</v>
      </c>
      <c r="J29" s="134">
        <f t="shared" si="8"/>
        <v>0</v>
      </c>
      <c r="K29" s="137">
        <f t="shared" si="9"/>
        <v>0</v>
      </c>
      <c r="L29" s="139">
        <f t="shared" si="10"/>
        <v>1E-06</v>
      </c>
      <c r="M29" s="134">
        <f t="shared" si="11"/>
        <v>2</v>
      </c>
      <c r="N29" s="134">
        <f t="shared" si="12"/>
        <v>15</v>
      </c>
      <c r="O29" s="134">
        <f t="shared" si="13"/>
        <v>0</v>
      </c>
      <c r="P29" s="137">
        <f t="shared" si="14"/>
        <v>0</v>
      </c>
      <c r="Q29" s="139">
        <f t="shared" si="15"/>
        <v>0</v>
      </c>
      <c r="R29" s="134">
        <f t="shared" si="16"/>
        <v>0</v>
      </c>
      <c r="S29" s="134">
        <f t="shared" si="17"/>
        <v>0</v>
      </c>
      <c r="T29" s="134">
        <f t="shared" si="18"/>
        <v>0</v>
      </c>
      <c r="U29" s="137">
        <f t="shared" si="19"/>
        <v>0</v>
      </c>
      <c r="V29" s="140">
        <f t="shared" si="20"/>
        <v>0.001</v>
      </c>
      <c r="W29" s="119">
        <f t="shared" si="21"/>
        <v>2</v>
      </c>
      <c r="X29" s="69">
        <f t="shared" si="22"/>
        <v>10</v>
      </c>
      <c r="Y29" s="139">
        <f t="shared" si="23"/>
        <v>0</v>
      </c>
      <c r="Z29" s="137">
        <f t="shared" si="24"/>
        <v>0</v>
      </c>
      <c r="AA29" s="139">
        <f t="shared" si="25"/>
        <v>0.95</v>
      </c>
      <c r="AB29" s="137">
        <f t="shared" si="26"/>
        <v>12.5</v>
      </c>
      <c r="AC29" s="139">
        <f t="shared" si="27"/>
        <v>0</v>
      </c>
      <c r="AD29" s="137">
        <f t="shared" si="28"/>
        <v>0</v>
      </c>
      <c r="AE29" s="139">
        <f t="shared" si="29"/>
        <v>0</v>
      </c>
      <c r="AF29" s="137">
        <f t="shared" si="30"/>
        <v>0</v>
      </c>
      <c r="AG29" s="139">
        <f t="shared" si="31"/>
        <v>0</v>
      </c>
      <c r="AH29" s="137">
        <f t="shared" si="32"/>
        <v>0</v>
      </c>
      <c r="AI29" s="139">
        <f t="shared" si="33"/>
        <v>0</v>
      </c>
      <c r="AJ29" s="137">
        <f t="shared" si="34"/>
        <v>0</v>
      </c>
      <c r="AK29" s="139">
        <f t="shared" si="35"/>
        <v>0</v>
      </c>
      <c r="AL29" s="137">
        <f t="shared" si="36"/>
        <v>0</v>
      </c>
      <c r="AM29" s="139">
        <f t="shared" si="37"/>
        <v>0</v>
      </c>
      <c r="AN29" s="137">
        <f t="shared" si="38"/>
        <v>0</v>
      </c>
      <c r="AO29" s="139">
        <f t="shared" si="39"/>
        <v>0</v>
      </c>
      <c r="AP29" s="134">
        <f t="shared" si="40"/>
        <v>0</v>
      </c>
      <c r="AQ29" s="141">
        <f t="shared" si="41"/>
        <v>30</v>
      </c>
      <c r="AR29" s="137">
        <f t="shared" si="42"/>
        <v>6</v>
      </c>
      <c r="AS29" s="142">
        <f t="shared" si="46"/>
        <v>5413000</v>
      </c>
      <c r="AT29" s="142">
        <f t="shared" si="46"/>
        <v>0.039</v>
      </c>
      <c r="AU29" s="141">
        <f t="shared" si="43"/>
        <v>0.75</v>
      </c>
      <c r="AV29" s="141">
        <f t="shared" si="44"/>
        <v>1.5</v>
      </c>
      <c r="AW29" s="4">
        <f t="shared" si="47"/>
        <v>1.0923564863414776</v>
      </c>
      <c r="AX29" s="4">
        <f t="shared" si="48"/>
        <v>0.05889151782819174</v>
      </c>
      <c r="AY29" s="4">
        <f t="shared" si="49"/>
        <v>0.05889151782819174</v>
      </c>
      <c r="AZ29" s="361">
        <f>IF(AR7&lt;=7,LOOKUP(AR7,Time_completion_user),AR7*LOOKUP(AR7,'Scaling Functions'!$G$125:$H$131))</f>
        <v>4.285714285714286</v>
      </c>
      <c r="BA29" s="14"/>
      <c r="BB29" s="257"/>
      <c r="BC29" s="14"/>
      <c r="BD29" s="14"/>
      <c r="BE29" s="14"/>
      <c r="BF29" s="14"/>
      <c r="BG29" s="14"/>
      <c r="BH29" s="14"/>
    </row>
    <row r="30" spans="1:60" ht="12.75">
      <c r="A30" s="112" t="str">
        <f t="shared" si="45"/>
        <v>GW recirc in LLAZ to 50 ug/L; MNA in MAAZ</v>
      </c>
      <c r="B30" s="139">
        <f t="shared" si="0"/>
        <v>1E-06</v>
      </c>
      <c r="C30" s="134">
        <f t="shared" si="1"/>
        <v>2</v>
      </c>
      <c r="D30" s="134">
        <f t="shared" si="2"/>
        <v>15</v>
      </c>
      <c r="E30" s="134">
        <f t="shared" si="3"/>
        <v>1E-06</v>
      </c>
      <c r="F30" s="137">
        <f t="shared" si="4"/>
        <v>100</v>
      </c>
      <c r="G30" s="139">
        <f t="shared" si="5"/>
        <v>0</v>
      </c>
      <c r="H30" s="134">
        <f t="shared" si="6"/>
        <v>0</v>
      </c>
      <c r="I30" s="134">
        <f t="shared" si="7"/>
        <v>0</v>
      </c>
      <c r="J30" s="134">
        <f t="shared" si="8"/>
        <v>0</v>
      </c>
      <c r="K30" s="137">
        <f t="shared" si="9"/>
        <v>0</v>
      </c>
      <c r="L30" s="139">
        <f t="shared" si="10"/>
        <v>1E-06</v>
      </c>
      <c r="M30" s="134">
        <f t="shared" si="11"/>
        <v>2</v>
      </c>
      <c r="N30" s="134">
        <f t="shared" si="12"/>
        <v>15</v>
      </c>
      <c r="O30" s="134">
        <f t="shared" si="13"/>
        <v>0</v>
      </c>
      <c r="P30" s="137">
        <f t="shared" si="14"/>
        <v>0</v>
      </c>
      <c r="Q30" s="139">
        <f t="shared" si="15"/>
        <v>0</v>
      </c>
      <c r="R30" s="134">
        <f t="shared" si="16"/>
        <v>0</v>
      </c>
      <c r="S30" s="134">
        <f t="shared" si="17"/>
        <v>0</v>
      </c>
      <c r="T30" s="134">
        <f t="shared" si="18"/>
        <v>0</v>
      </c>
      <c r="U30" s="137">
        <f t="shared" si="19"/>
        <v>0</v>
      </c>
      <c r="V30" s="140">
        <f t="shared" si="20"/>
        <v>0.01</v>
      </c>
      <c r="W30" s="119">
        <f t="shared" si="21"/>
        <v>2</v>
      </c>
      <c r="X30" s="69">
        <f t="shared" si="22"/>
        <v>10</v>
      </c>
      <c r="Y30" s="139">
        <f t="shared" si="23"/>
        <v>0</v>
      </c>
      <c r="Z30" s="137">
        <f t="shared" si="24"/>
        <v>0</v>
      </c>
      <c r="AA30" s="139">
        <f t="shared" si="25"/>
        <v>0.95</v>
      </c>
      <c r="AB30" s="137">
        <f t="shared" si="26"/>
        <v>12.5</v>
      </c>
      <c r="AC30" s="139">
        <f t="shared" si="27"/>
        <v>0</v>
      </c>
      <c r="AD30" s="137">
        <f t="shared" si="28"/>
        <v>0</v>
      </c>
      <c r="AE30" s="139">
        <f t="shared" si="29"/>
        <v>0</v>
      </c>
      <c r="AF30" s="137">
        <f t="shared" si="30"/>
        <v>0</v>
      </c>
      <c r="AG30" s="139">
        <f t="shared" si="31"/>
        <v>0</v>
      </c>
      <c r="AH30" s="137">
        <f t="shared" si="32"/>
        <v>0</v>
      </c>
      <c r="AI30" s="139">
        <f t="shared" si="33"/>
        <v>0</v>
      </c>
      <c r="AJ30" s="137">
        <f t="shared" si="34"/>
        <v>0</v>
      </c>
      <c r="AK30" s="139">
        <f t="shared" si="35"/>
        <v>0</v>
      </c>
      <c r="AL30" s="137">
        <f t="shared" si="36"/>
        <v>0</v>
      </c>
      <c r="AM30" s="139">
        <f t="shared" si="37"/>
        <v>0</v>
      </c>
      <c r="AN30" s="137">
        <f t="shared" si="38"/>
        <v>0</v>
      </c>
      <c r="AO30" s="139">
        <f t="shared" si="39"/>
        <v>0</v>
      </c>
      <c r="AP30" s="134">
        <f t="shared" si="40"/>
        <v>0</v>
      </c>
      <c r="AQ30" s="141">
        <f t="shared" si="41"/>
        <v>0</v>
      </c>
      <c r="AR30" s="137">
        <f t="shared" si="42"/>
        <v>6</v>
      </c>
      <c r="AS30" s="142">
        <f t="shared" si="46"/>
        <v>7229000</v>
      </c>
      <c r="AT30" s="142">
        <f t="shared" si="46"/>
        <v>0.039</v>
      </c>
      <c r="AU30" s="141">
        <f t="shared" si="43"/>
        <v>0.75</v>
      </c>
      <c r="AV30" s="141">
        <f t="shared" si="44"/>
        <v>1.5</v>
      </c>
      <c r="AW30" s="4">
        <f t="shared" si="47"/>
        <v>1.0923564863414776</v>
      </c>
      <c r="AX30" s="4">
        <f t="shared" si="48"/>
        <v>0.05889151782819174</v>
      </c>
      <c r="AY30" s="4">
        <f t="shared" si="49"/>
        <v>0.05889151782819174</v>
      </c>
      <c r="AZ30" s="361">
        <f>IF(AR8&lt;=7,LOOKUP(AR8,Time_completion_user),AR8*LOOKUP(AR8,'Scaling Functions'!$G$125:$H$131))</f>
        <v>4.285714285714286</v>
      </c>
      <c r="BA30" s="14"/>
      <c r="BB30" s="257"/>
      <c r="BC30" s="14"/>
      <c r="BD30" s="14"/>
      <c r="BE30" s="14"/>
      <c r="BF30" s="14"/>
      <c r="BG30" s="14"/>
      <c r="BH30" s="14"/>
    </row>
    <row r="31" spans="1:60" ht="12.75">
      <c r="A31" s="112" t="str">
        <f t="shared" si="45"/>
        <v>ChemOx in LLAZ to 50 ug/L; MNA in MAAZ</v>
      </c>
      <c r="B31" s="139">
        <f t="shared" si="0"/>
        <v>1E-06</v>
      </c>
      <c r="C31" s="134">
        <f t="shared" si="1"/>
        <v>2</v>
      </c>
      <c r="D31" s="134">
        <f t="shared" si="2"/>
        <v>15</v>
      </c>
      <c r="E31" s="134">
        <f t="shared" si="3"/>
        <v>1E-06</v>
      </c>
      <c r="F31" s="137">
        <f t="shared" si="4"/>
        <v>100</v>
      </c>
      <c r="G31" s="139">
        <f t="shared" si="5"/>
        <v>0</v>
      </c>
      <c r="H31" s="134">
        <f t="shared" si="6"/>
        <v>0</v>
      </c>
      <c r="I31" s="134">
        <f t="shared" si="7"/>
        <v>0</v>
      </c>
      <c r="J31" s="134">
        <f t="shared" si="8"/>
        <v>0</v>
      </c>
      <c r="K31" s="137">
        <f t="shared" si="9"/>
        <v>0</v>
      </c>
      <c r="L31" s="139">
        <f t="shared" si="10"/>
        <v>1E-06</v>
      </c>
      <c r="M31" s="134">
        <f t="shared" si="11"/>
        <v>2</v>
      </c>
      <c r="N31" s="134">
        <f t="shared" si="12"/>
        <v>15</v>
      </c>
      <c r="O31" s="134">
        <f t="shared" si="13"/>
        <v>0</v>
      </c>
      <c r="P31" s="137">
        <f t="shared" si="14"/>
        <v>0</v>
      </c>
      <c r="Q31" s="139">
        <f t="shared" si="15"/>
        <v>0</v>
      </c>
      <c r="R31" s="134">
        <f t="shared" si="16"/>
        <v>0</v>
      </c>
      <c r="S31" s="134">
        <f t="shared" si="17"/>
        <v>0</v>
      </c>
      <c r="T31" s="134">
        <f t="shared" si="18"/>
        <v>0</v>
      </c>
      <c r="U31" s="137">
        <f t="shared" si="19"/>
        <v>0</v>
      </c>
      <c r="V31" s="140">
        <f t="shared" si="20"/>
        <v>0.1</v>
      </c>
      <c r="W31" s="119">
        <f t="shared" si="21"/>
        <v>2</v>
      </c>
      <c r="X31" s="69">
        <f t="shared" si="22"/>
        <v>10</v>
      </c>
      <c r="Y31" s="139">
        <f t="shared" si="23"/>
        <v>0</v>
      </c>
      <c r="Z31" s="137">
        <f t="shared" si="24"/>
        <v>0</v>
      </c>
      <c r="AA31" s="139">
        <f t="shared" si="25"/>
        <v>0.95</v>
      </c>
      <c r="AB31" s="137">
        <f t="shared" si="26"/>
        <v>12.5</v>
      </c>
      <c r="AC31" s="139">
        <f t="shared" si="27"/>
        <v>0</v>
      </c>
      <c r="AD31" s="137">
        <f t="shared" si="28"/>
        <v>0</v>
      </c>
      <c r="AE31" s="139">
        <f t="shared" si="29"/>
        <v>0</v>
      </c>
      <c r="AF31" s="137">
        <f t="shared" si="30"/>
        <v>0</v>
      </c>
      <c r="AG31" s="139">
        <f t="shared" si="31"/>
        <v>0</v>
      </c>
      <c r="AH31" s="137">
        <f t="shared" si="32"/>
        <v>0</v>
      </c>
      <c r="AI31" s="139">
        <f t="shared" si="33"/>
        <v>0</v>
      </c>
      <c r="AJ31" s="137">
        <f t="shared" si="34"/>
        <v>0</v>
      </c>
      <c r="AK31" s="139">
        <f t="shared" si="35"/>
        <v>0</v>
      </c>
      <c r="AL31" s="137">
        <f t="shared" si="36"/>
        <v>0</v>
      </c>
      <c r="AM31" s="139">
        <f t="shared" si="37"/>
        <v>0</v>
      </c>
      <c r="AN31" s="137">
        <f t="shared" si="38"/>
        <v>0</v>
      </c>
      <c r="AO31" s="139">
        <f t="shared" si="39"/>
        <v>0</v>
      </c>
      <c r="AP31" s="134">
        <f t="shared" si="40"/>
        <v>0</v>
      </c>
      <c r="AQ31" s="141">
        <f t="shared" si="41"/>
        <v>0</v>
      </c>
      <c r="AR31" s="137">
        <f t="shared" si="42"/>
        <v>5</v>
      </c>
      <c r="AS31" s="142">
        <f t="shared" si="46"/>
        <v>9721000</v>
      </c>
      <c r="AT31" s="142">
        <f t="shared" si="46"/>
        <v>0.039</v>
      </c>
      <c r="AU31" s="141">
        <f t="shared" si="43"/>
        <v>0.75</v>
      </c>
      <c r="AV31" s="141">
        <f t="shared" si="44"/>
        <v>2</v>
      </c>
      <c r="AW31" s="4">
        <f t="shared" si="47"/>
        <v>1.3554030054147672</v>
      </c>
      <c r="AX31" s="4">
        <f t="shared" si="48"/>
        <v>0.2027325540540822</v>
      </c>
      <c r="AY31" s="4">
        <f t="shared" si="49"/>
        <v>0.2027325540540822</v>
      </c>
      <c r="AZ31" s="361">
        <f>IF(AR9&lt;=7,LOOKUP(AR9,Time_completion_user),AR9*LOOKUP(AR9,'Scaling Functions'!$G$125:$H$131))</f>
        <v>3.571428571428571</v>
      </c>
      <c r="BA31" s="14"/>
      <c r="BB31" s="257"/>
      <c r="BC31" s="14"/>
      <c r="BD31" s="14"/>
      <c r="BE31" s="14"/>
      <c r="BF31" s="14"/>
      <c r="BG31" s="14"/>
      <c r="BH31" s="14"/>
    </row>
    <row r="32" spans="1:60" ht="12.75">
      <c r="A32" s="112" t="str">
        <f t="shared" si="45"/>
        <v>PRB in LLAZ to 50 ug/L; MNA in MAAZ</v>
      </c>
      <c r="B32" s="139">
        <f t="shared" si="0"/>
        <v>1E-06</v>
      </c>
      <c r="C32" s="134">
        <f t="shared" si="1"/>
        <v>2</v>
      </c>
      <c r="D32" s="134">
        <f t="shared" si="2"/>
        <v>15</v>
      </c>
      <c r="E32" s="134">
        <f t="shared" si="3"/>
        <v>1E-06</v>
      </c>
      <c r="F32" s="137">
        <f t="shared" si="4"/>
        <v>100</v>
      </c>
      <c r="G32" s="139">
        <f t="shared" si="5"/>
        <v>0</v>
      </c>
      <c r="H32" s="134">
        <f t="shared" si="6"/>
        <v>0</v>
      </c>
      <c r="I32" s="134">
        <f t="shared" si="7"/>
        <v>0</v>
      </c>
      <c r="J32" s="134">
        <f t="shared" si="8"/>
        <v>0</v>
      </c>
      <c r="K32" s="137">
        <f t="shared" si="9"/>
        <v>0</v>
      </c>
      <c r="L32" s="139">
        <f t="shared" si="10"/>
        <v>1E-06</v>
      </c>
      <c r="M32" s="134">
        <f t="shared" si="11"/>
        <v>2</v>
      </c>
      <c r="N32" s="134">
        <f t="shared" si="12"/>
        <v>15</v>
      </c>
      <c r="O32" s="134">
        <f t="shared" si="13"/>
        <v>0</v>
      </c>
      <c r="P32" s="137">
        <f t="shared" si="14"/>
        <v>0</v>
      </c>
      <c r="Q32" s="139">
        <f t="shared" si="15"/>
        <v>0</v>
      </c>
      <c r="R32" s="134">
        <f t="shared" si="16"/>
        <v>0</v>
      </c>
      <c r="S32" s="134">
        <f t="shared" si="17"/>
        <v>0</v>
      </c>
      <c r="T32" s="134">
        <f t="shared" si="18"/>
        <v>0</v>
      </c>
      <c r="U32" s="137">
        <f t="shared" si="19"/>
        <v>0</v>
      </c>
      <c r="V32" s="140">
        <f t="shared" si="20"/>
        <v>0.01</v>
      </c>
      <c r="W32" s="119">
        <f t="shared" si="21"/>
        <v>10</v>
      </c>
      <c r="X32" s="69">
        <f t="shared" si="22"/>
        <v>10</v>
      </c>
      <c r="Y32" s="139">
        <f t="shared" si="23"/>
        <v>0</v>
      </c>
      <c r="Z32" s="137">
        <f t="shared" si="24"/>
        <v>0</v>
      </c>
      <c r="AA32" s="139">
        <f t="shared" si="25"/>
        <v>0.95</v>
      </c>
      <c r="AB32" s="137">
        <f t="shared" si="26"/>
        <v>12.5</v>
      </c>
      <c r="AC32" s="139">
        <f t="shared" si="27"/>
        <v>0</v>
      </c>
      <c r="AD32" s="137">
        <f t="shared" si="28"/>
        <v>0</v>
      </c>
      <c r="AE32" s="139">
        <f t="shared" si="29"/>
        <v>0</v>
      </c>
      <c r="AF32" s="137">
        <f t="shared" si="30"/>
        <v>0</v>
      </c>
      <c r="AG32" s="139">
        <f t="shared" si="31"/>
        <v>0</v>
      </c>
      <c r="AH32" s="137">
        <f t="shared" si="32"/>
        <v>0</v>
      </c>
      <c r="AI32" s="139">
        <f t="shared" si="33"/>
        <v>0</v>
      </c>
      <c r="AJ32" s="137">
        <f t="shared" si="34"/>
        <v>0</v>
      </c>
      <c r="AK32" s="139">
        <f t="shared" si="35"/>
        <v>0</v>
      </c>
      <c r="AL32" s="137">
        <f t="shared" si="36"/>
        <v>0</v>
      </c>
      <c r="AM32" s="139">
        <f t="shared" si="37"/>
        <v>0</v>
      </c>
      <c r="AN32" s="137">
        <f t="shared" si="38"/>
        <v>0</v>
      </c>
      <c r="AO32" s="139">
        <f t="shared" si="39"/>
        <v>0</v>
      </c>
      <c r="AP32" s="134">
        <f t="shared" si="40"/>
        <v>0</v>
      </c>
      <c r="AQ32" s="141">
        <f t="shared" si="41"/>
        <v>0</v>
      </c>
      <c r="AR32" s="137">
        <f t="shared" si="42"/>
        <v>5</v>
      </c>
      <c r="AS32" s="142">
        <f t="shared" si="46"/>
        <v>42321000</v>
      </c>
      <c r="AT32" s="142">
        <f t="shared" si="46"/>
        <v>0.039</v>
      </c>
      <c r="AU32" s="141">
        <f t="shared" si="43"/>
        <v>0.9</v>
      </c>
      <c r="AV32" s="141">
        <f t="shared" si="44"/>
        <v>1.25</v>
      </c>
      <c r="AW32" s="4">
        <f t="shared" si="47"/>
        <v>1.0923564863414776</v>
      </c>
      <c r="AX32" s="4">
        <f t="shared" si="48"/>
        <v>0.05889151782819174</v>
      </c>
      <c r="AY32" s="4">
        <f t="shared" si="49"/>
        <v>0.05889151782819174</v>
      </c>
      <c r="AZ32" s="361">
        <f>IF(AR10&lt;=7,LOOKUP(AR10,Time_completion_user),AR10*LOOKUP(AR10,'Scaling Functions'!$G$125:$H$131))</f>
        <v>3.571428571428571</v>
      </c>
      <c r="BA32" s="14"/>
      <c r="BB32" s="257"/>
      <c r="BC32" s="14"/>
      <c r="BD32" s="14"/>
      <c r="BE32" s="14"/>
      <c r="BF32" s="14"/>
      <c r="BG32" s="14"/>
      <c r="BH32" s="14"/>
    </row>
    <row r="33" spans="1:60" ht="12.75">
      <c r="A33" s="112" t="str">
        <f t="shared" si="45"/>
        <v>GW recirc in LLAZ &amp; MAAZ to 50 ug/L</v>
      </c>
      <c r="B33" s="139">
        <f t="shared" si="0"/>
        <v>1E-06</v>
      </c>
      <c r="C33" s="134">
        <f t="shared" si="1"/>
        <v>2</v>
      </c>
      <c r="D33" s="134">
        <f t="shared" si="2"/>
        <v>15</v>
      </c>
      <c r="E33" s="134">
        <f t="shared" si="3"/>
        <v>1E-06</v>
      </c>
      <c r="F33" s="137">
        <f t="shared" si="4"/>
        <v>100</v>
      </c>
      <c r="G33" s="139">
        <f t="shared" si="5"/>
        <v>0</v>
      </c>
      <c r="H33" s="134">
        <f t="shared" si="6"/>
        <v>0</v>
      </c>
      <c r="I33" s="134">
        <f t="shared" si="7"/>
        <v>0</v>
      </c>
      <c r="J33" s="134">
        <f t="shared" si="8"/>
        <v>0</v>
      </c>
      <c r="K33" s="137">
        <f t="shared" si="9"/>
        <v>0</v>
      </c>
      <c r="L33" s="139">
        <f t="shared" si="10"/>
        <v>1E-06</v>
      </c>
      <c r="M33" s="134">
        <f t="shared" si="11"/>
        <v>2</v>
      </c>
      <c r="N33" s="134">
        <f t="shared" si="12"/>
        <v>15</v>
      </c>
      <c r="O33" s="134">
        <f t="shared" si="13"/>
        <v>0</v>
      </c>
      <c r="P33" s="137">
        <f t="shared" si="14"/>
        <v>0</v>
      </c>
      <c r="Q33" s="139">
        <f t="shared" si="15"/>
        <v>0</v>
      </c>
      <c r="R33" s="134">
        <f t="shared" si="16"/>
        <v>0</v>
      </c>
      <c r="S33" s="134">
        <f t="shared" si="17"/>
        <v>0</v>
      </c>
      <c r="T33" s="134">
        <f t="shared" si="18"/>
        <v>0</v>
      </c>
      <c r="U33" s="137">
        <f t="shared" si="19"/>
        <v>0</v>
      </c>
      <c r="V33" s="140">
        <f t="shared" si="20"/>
        <v>0.01</v>
      </c>
      <c r="W33" s="119">
        <f t="shared" si="21"/>
        <v>2</v>
      </c>
      <c r="X33" s="69">
        <f t="shared" si="22"/>
        <v>10</v>
      </c>
      <c r="Y33" s="139">
        <f t="shared" si="23"/>
        <v>0</v>
      </c>
      <c r="Z33" s="137">
        <f t="shared" si="24"/>
        <v>0</v>
      </c>
      <c r="AA33" s="139">
        <f t="shared" si="25"/>
        <v>0.95</v>
      </c>
      <c r="AB33" s="137">
        <f t="shared" si="26"/>
        <v>12.5</v>
      </c>
      <c r="AC33" s="139">
        <f t="shared" si="27"/>
        <v>0</v>
      </c>
      <c r="AD33" s="137">
        <f t="shared" si="28"/>
        <v>0</v>
      </c>
      <c r="AE33" s="139">
        <f t="shared" si="29"/>
        <v>0</v>
      </c>
      <c r="AF33" s="137">
        <f t="shared" si="30"/>
        <v>0</v>
      </c>
      <c r="AG33" s="139">
        <f t="shared" si="31"/>
        <v>0</v>
      </c>
      <c r="AH33" s="137">
        <f t="shared" si="32"/>
        <v>0</v>
      </c>
      <c r="AI33" s="139">
        <f t="shared" si="33"/>
        <v>0</v>
      </c>
      <c r="AJ33" s="137">
        <f t="shared" si="34"/>
        <v>0</v>
      </c>
      <c r="AK33" s="139">
        <f t="shared" si="35"/>
        <v>0</v>
      </c>
      <c r="AL33" s="137">
        <f t="shared" si="36"/>
        <v>0</v>
      </c>
      <c r="AM33" s="139">
        <f t="shared" si="37"/>
        <v>0</v>
      </c>
      <c r="AN33" s="137">
        <f t="shared" si="38"/>
        <v>0</v>
      </c>
      <c r="AO33" s="139">
        <f t="shared" si="39"/>
        <v>0</v>
      </c>
      <c r="AP33" s="134">
        <f t="shared" si="40"/>
        <v>0</v>
      </c>
      <c r="AQ33" s="141">
        <f t="shared" si="41"/>
        <v>0</v>
      </c>
      <c r="AR33" s="137">
        <f t="shared" si="42"/>
        <v>5.4</v>
      </c>
      <c r="AS33" s="142">
        <f t="shared" si="46"/>
        <v>8830000</v>
      </c>
      <c r="AT33" s="142">
        <f t="shared" si="46"/>
        <v>0.039</v>
      </c>
      <c r="AU33" s="141">
        <f t="shared" si="43"/>
        <v>0.75</v>
      </c>
      <c r="AV33" s="141">
        <f t="shared" si="44"/>
        <v>1.5</v>
      </c>
      <c r="AW33" s="4">
        <f t="shared" si="47"/>
        <v>1.0923564863414776</v>
      </c>
      <c r="AX33" s="4">
        <f t="shared" si="48"/>
        <v>0.05889151782819174</v>
      </c>
      <c r="AY33" s="4">
        <f t="shared" si="49"/>
        <v>0.05889151782819174</v>
      </c>
      <c r="AZ33" s="361">
        <f>IF(AR11&lt;=7,LOOKUP(AR11,Time_completion_user),AR11*LOOKUP(AR11,'Scaling Functions'!$G$125:$H$131))</f>
        <v>3.8571428571428568</v>
      </c>
      <c r="BA33" s="14"/>
      <c r="BB33" s="257"/>
      <c r="BC33" s="14"/>
      <c r="BD33" s="14"/>
      <c r="BE33" s="14"/>
      <c r="BF33" s="14"/>
      <c r="BG33" s="14"/>
      <c r="BH33" s="14"/>
    </row>
    <row r="34" spans="1:60" ht="12.75">
      <c r="A34" s="112" t="str">
        <f t="shared" si="45"/>
        <v>ChemOx in LLAZ to 50 ug/L; GW recirc in MAAZ to 50 ug/L</v>
      </c>
      <c r="B34" s="139">
        <f t="shared" si="0"/>
        <v>1E-06</v>
      </c>
      <c r="C34" s="134">
        <f t="shared" si="1"/>
        <v>2</v>
      </c>
      <c r="D34" s="134">
        <f t="shared" si="2"/>
        <v>15</v>
      </c>
      <c r="E34" s="134">
        <f t="shared" si="3"/>
        <v>1E-06</v>
      </c>
      <c r="F34" s="137">
        <f t="shared" si="4"/>
        <v>100</v>
      </c>
      <c r="G34" s="139">
        <f t="shared" si="5"/>
        <v>0</v>
      </c>
      <c r="H34" s="134">
        <f t="shared" si="6"/>
        <v>0</v>
      </c>
      <c r="I34" s="134">
        <f t="shared" si="7"/>
        <v>0</v>
      </c>
      <c r="J34" s="134">
        <f t="shared" si="8"/>
        <v>0</v>
      </c>
      <c r="K34" s="137">
        <f t="shared" si="9"/>
        <v>0</v>
      </c>
      <c r="L34" s="139">
        <f t="shared" si="10"/>
        <v>1E-06</v>
      </c>
      <c r="M34" s="134">
        <f t="shared" si="11"/>
        <v>2</v>
      </c>
      <c r="N34" s="134">
        <f t="shared" si="12"/>
        <v>15</v>
      </c>
      <c r="O34" s="134">
        <f t="shared" si="13"/>
        <v>0</v>
      </c>
      <c r="P34" s="137">
        <f t="shared" si="14"/>
        <v>0</v>
      </c>
      <c r="Q34" s="139">
        <f t="shared" si="15"/>
        <v>0</v>
      </c>
      <c r="R34" s="134">
        <f t="shared" si="16"/>
        <v>0</v>
      </c>
      <c r="S34" s="134">
        <f t="shared" si="17"/>
        <v>0</v>
      </c>
      <c r="T34" s="134">
        <f t="shared" si="18"/>
        <v>0</v>
      </c>
      <c r="U34" s="137">
        <f t="shared" si="19"/>
        <v>0</v>
      </c>
      <c r="V34" s="140">
        <f t="shared" si="20"/>
        <v>0.1</v>
      </c>
      <c r="W34" s="119">
        <f t="shared" si="21"/>
        <v>2</v>
      </c>
      <c r="X34" s="69">
        <f t="shared" si="22"/>
        <v>10</v>
      </c>
      <c r="Y34" s="139">
        <f t="shared" si="23"/>
        <v>0</v>
      </c>
      <c r="Z34" s="137">
        <f t="shared" si="24"/>
        <v>0</v>
      </c>
      <c r="AA34" s="139">
        <f t="shared" si="25"/>
        <v>0.95</v>
      </c>
      <c r="AB34" s="137">
        <f t="shared" si="26"/>
        <v>12.5</v>
      </c>
      <c r="AC34" s="139">
        <f t="shared" si="27"/>
        <v>0</v>
      </c>
      <c r="AD34" s="137">
        <f t="shared" si="28"/>
        <v>0</v>
      </c>
      <c r="AE34" s="139">
        <f t="shared" si="29"/>
        <v>0</v>
      </c>
      <c r="AF34" s="137">
        <f t="shared" si="30"/>
        <v>0</v>
      </c>
      <c r="AG34" s="139">
        <f t="shared" si="31"/>
        <v>0</v>
      </c>
      <c r="AH34" s="137">
        <f t="shared" si="32"/>
        <v>0</v>
      </c>
      <c r="AI34" s="139">
        <f t="shared" si="33"/>
        <v>0</v>
      </c>
      <c r="AJ34" s="137">
        <f t="shared" si="34"/>
        <v>0</v>
      </c>
      <c r="AK34" s="139">
        <f t="shared" si="35"/>
        <v>0</v>
      </c>
      <c r="AL34" s="137">
        <f t="shared" si="36"/>
        <v>0</v>
      </c>
      <c r="AM34" s="139">
        <f t="shared" si="37"/>
        <v>0</v>
      </c>
      <c r="AN34" s="137">
        <f t="shared" si="38"/>
        <v>0</v>
      </c>
      <c r="AO34" s="139">
        <f t="shared" si="39"/>
        <v>0</v>
      </c>
      <c r="AP34" s="134">
        <f t="shared" si="40"/>
        <v>0</v>
      </c>
      <c r="AQ34" s="141">
        <f t="shared" si="41"/>
        <v>0</v>
      </c>
      <c r="AR34" s="137">
        <f t="shared" si="42"/>
        <v>4.8</v>
      </c>
      <c r="AS34" s="142">
        <f t="shared" si="46"/>
        <v>11019000</v>
      </c>
      <c r="AT34" s="142">
        <f t="shared" si="46"/>
        <v>0.039</v>
      </c>
      <c r="AU34" s="141">
        <f t="shared" si="43"/>
        <v>0.75</v>
      </c>
      <c r="AV34" s="141">
        <f t="shared" si="44"/>
        <v>2</v>
      </c>
      <c r="AW34" s="4">
        <f t="shared" si="47"/>
        <v>1.3554030054147672</v>
      </c>
      <c r="AX34" s="4">
        <f t="shared" si="48"/>
        <v>0.2027325540540822</v>
      </c>
      <c r="AY34" s="4">
        <f t="shared" si="49"/>
        <v>0.2027325540540822</v>
      </c>
      <c r="AZ34" s="361">
        <f>IF(AR12&lt;=7,LOOKUP(AR12,Time_completion_user),AR12*LOOKUP(AR12,'Scaling Functions'!$G$125:$H$131))</f>
        <v>3.4285714285714284</v>
      </c>
      <c r="BA34" s="14"/>
      <c r="BB34" s="257"/>
      <c r="BC34" s="14"/>
      <c r="BD34" s="14"/>
      <c r="BE34" s="14"/>
      <c r="BF34" s="14"/>
      <c r="BG34" s="14"/>
      <c r="BH34" s="14"/>
    </row>
    <row r="35" spans="1:60" ht="12.75">
      <c r="A35" s="112" t="str">
        <f t="shared" si="45"/>
        <v>PRB in LLAZ to 50 ug/L; GW recirc in MAAZ to 50 ug/L</v>
      </c>
      <c r="B35" s="139">
        <f t="shared" si="0"/>
        <v>1E-06</v>
      </c>
      <c r="C35" s="134">
        <f t="shared" si="1"/>
        <v>2</v>
      </c>
      <c r="D35" s="134">
        <f t="shared" si="2"/>
        <v>15</v>
      </c>
      <c r="E35" s="134">
        <f t="shared" si="3"/>
        <v>1E-06</v>
      </c>
      <c r="F35" s="137">
        <f t="shared" si="4"/>
        <v>100</v>
      </c>
      <c r="G35" s="139">
        <f t="shared" si="5"/>
        <v>0</v>
      </c>
      <c r="H35" s="134">
        <f t="shared" si="6"/>
        <v>0</v>
      </c>
      <c r="I35" s="134">
        <f t="shared" si="7"/>
        <v>0</v>
      </c>
      <c r="J35" s="134">
        <f t="shared" si="8"/>
        <v>0</v>
      </c>
      <c r="K35" s="137">
        <f t="shared" si="9"/>
        <v>0</v>
      </c>
      <c r="L35" s="139">
        <f t="shared" si="10"/>
        <v>1E-06</v>
      </c>
      <c r="M35" s="134">
        <f t="shared" si="11"/>
        <v>2</v>
      </c>
      <c r="N35" s="134">
        <f t="shared" si="12"/>
        <v>15</v>
      </c>
      <c r="O35" s="134">
        <f t="shared" si="13"/>
        <v>0</v>
      </c>
      <c r="P35" s="137">
        <f t="shared" si="14"/>
        <v>0</v>
      </c>
      <c r="Q35" s="139">
        <f t="shared" si="15"/>
        <v>0</v>
      </c>
      <c r="R35" s="134">
        <f t="shared" si="16"/>
        <v>0</v>
      </c>
      <c r="S35" s="134">
        <f t="shared" si="17"/>
        <v>0</v>
      </c>
      <c r="T35" s="134">
        <f t="shared" si="18"/>
        <v>0</v>
      </c>
      <c r="U35" s="137">
        <f t="shared" si="19"/>
        <v>0</v>
      </c>
      <c r="V35" s="140">
        <f t="shared" si="20"/>
        <v>0.01</v>
      </c>
      <c r="W35" s="119">
        <f t="shared" si="21"/>
        <v>10</v>
      </c>
      <c r="X35" s="69">
        <f t="shared" si="22"/>
        <v>10</v>
      </c>
      <c r="Y35" s="139">
        <f t="shared" si="23"/>
        <v>0</v>
      </c>
      <c r="Z35" s="137">
        <f t="shared" si="24"/>
        <v>0</v>
      </c>
      <c r="AA35" s="139">
        <f t="shared" si="25"/>
        <v>0.95</v>
      </c>
      <c r="AB35" s="137">
        <f t="shared" si="26"/>
        <v>12.5</v>
      </c>
      <c r="AC35" s="139">
        <f t="shared" si="27"/>
        <v>0</v>
      </c>
      <c r="AD35" s="137">
        <f t="shared" si="28"/>
        <v>0</v>
      </c>
      <c r="AE35" s="139">
        <f t="shared" si="29"/>
        <v>0</v>
      </c>
      <c r="AF35" s="137">
        <f t="shared" si="30"/>
        <v>0</v>
      </c>
      <c r="AG35" s="139">
        <f t="shared" si="31"/>
        <v>0</v>
      </c>
      <c r="AH35" s="137">
        <f t="shared" si="32"/>
        <v>0</v>
      </c>
      <c r="AI35" s="139">
        <f t="shared" si="33"/>
        <v>0</v>
      </c>
      <c r="AJ35" s="137">
        <f t="shared" si="34"/>
        <v>0</v>
      </c>
      <c r="AK35" s="139">
        <f t="shared" si="35"/>
        <v>0</v>
      </c>
      <c r="AL35" s="137">
        <f t="shared" si="36"/>
        <v>0</v>
      </c>
      <c r="AM35" s="139">
        <f t="shared" si="37"/>
        <v>0</v>
      </c>
      <c r="AN35" s="137">
        <f t="shared" si="38"/>
        <v>0</v>
      </c>
      <c r="AO35" s="139">
        <f t="shared" si="39"/>
        <v>0</v>
      </c>
      <c r="AP35" s="134">
        <f t="shared" si="40"/>
        <v>0</v>
      </c>
      <c r="AQ35" s="141">
        <f t="shared" si="41"/>
        <v>0</v>
      </c>
      <c r="AR35" s="137">
        <f t="shared" si="42"/>
        <v>4.8</v>
      </c>
      <c r="AS35" s="142">
        <f t="shared" si="46"/>
        <v>44402000</v>
      </c>
      <c r="AT35" s="142">
        <f t="shared" si="46"/>
        <v>0.039</v>
      </c>
      <c r="AU35" s="141">
        <f t="shared" si="43"/>
        <v>0.9</v>
      </c>
      <c r="AV35" s="141">
        <f t="shared" si="44"/>
        <v>1.25</v>
      </c>
      <c r="AW35" s="4">
        <f t="shared" si="47"/>
        <v>1.0923564863414776</v>
      </c>
      <c r="AX35" s="4">
        <f t="shared" si="48"/>
        <v>0.05889151782819174</v>
      </c>
      <c r="AY35" s="4">
        <f t="shared" si="49"/>
        <v>0.05889151782819174</v>
      </c>
      <c r="AZ35" s="361">
        <f>IF(AR13&lt;=7,LOOKUP(AR13,Time_completion_user),AR13*LOOKUP(AR13,'Scaling Functions'!$G$125:$H$131))</f>
        <v>3.4285714285714284</v>
      </c>
      <c r="BA35" s="14"/>
      <c r="BB35" s="257"/>
      <c r="BC35" s="14"/>
      <c r="BD35" s="14"/>
      <c r="BE35" s="14"/>
      <c r="BF35" s="14"/>
      <c r="BG35" s="14"/>
      <c r="BH35" s="14"/>
    </row>
    <row r="36" spans="1:60" ht="12.75">
      <c r="A36" s="112">
        <f t="shared" si="45"/>
      </c>
      <c r="B36" s="139">
        <f t="shared" si="0"/>
        <v>0</v>
      </c>
      <c r="C36" s="134">
        <f t="shared" si="1"/>
        <v>0</v>
      </c>
      <c r="D36" s="134">
        <f t="shared" si="2"/>
        <v>0</v>
      </c>
      <c r="E36" s="134">
        <f t="shared" si="3"/>
        <v>0</v>
      </c>
      <c r="F36" s="137">
        <f t="shared" si="4"/>
        <v>0</v>
      </c>
      <c r="G36" s="139">
        <f t="shared" si="5"/>
        <v>0</v>
      </c>
      <c r="H36" s="134">
        <f t="shared" si="6"/>
        <v>0</v>
      </c>
      <c r="I36" s="134">
        <f t="shared" si="7"/>
        <v>0</v>
      </c>
      <c r="J36" s="134">
        <f t="shared" si="8"/>
        <v>0</v>
      </c>
      <c r="K36" s="137">
        <f t="shared" si="9"/>
        <v>0</v>
      </c>
      <c r="L36" s="139">
        <f t="shared" si="10"/>
        <v>0</v>
      </c>
      <c r="M36" s="134">
        <f t="shared" si="11"/>
        <v>0</v>
      </c>
      <c r="N36" s="134">
        <f t="shared" si="12"/>
        <v>0</v>
      </c>
      <c r="O36" s="134">
        <f t="shared" si="13"/>
        <v>0</v>
      </c>
      <c r="P36" s="137">
        <f t="shared" si="14"/>
        <v>0</v>
      </c>
      <c r="Q36" s="139">
        <f t="shared" si="15"/>
        <v>0</v>
      </c>
      <c r="R36" s="134">
        <f t="shared" si="16"/>
        <v>0</v>
      </c>
      <c r="S36" s="134">
        <f t="shared" si="17"/>
        <v>0</v>
      </c>
      <c r="T36" s="134">
        <f t="shared" si="18"/>
        <v>0</v>
      </c>
      <c r="U36" s="137">
        <f t="shared" si="19"/>
        <v>0</v>
      </c>
      <c r="V36" s="140">
        <f t="shared" si="20"/>
        <v>0</v>
      </c>
      <c r="W36" s="119">
        <f aca="true" t="shared" si="50" ref="W36:W46">IF(W14&gt;0,LOOKUP(W14,Num_Wexp),0)</f>
        <v>0</v>
      </c>
      <c r="X36" s="69">
        <f t="shared" si="22"/>
        <v>0</v>
      </c>
      <c r="Y36" s="139">
        <f t="shared" si="23"/>
        <v>0</v>
      </c>
      <c r="Z36" s="137">
        <f t="shared" si="24"/>
        <v>0</v>
      </c>
      <c r="AA36" s="139">
        <f t="shared" si="25"/>
        <v>0</v>
      </c>
      <c r="AB36" s="137">
        <f t="shared" si="26"/>
        <v>0</v>
      </c>
      <c r="AC36" s="139">
        <f t="shared" si="27"/>
        <v>0</v>
      </c>
      <c r="AD36" s="137">
        <f t="shared" si="28"/>
        <v>0</v>
      </c>
      <c r="AE36" s="139">
        <f t="shared" si="29"/>
        <v>0</v>
      </c>
      <c r="AF36" s="137">
        <f t="shared" si="30"/>
        <v>0</v>
      </c>
      <c r="AG36" s="139">
        <f t="shared" si="31"/>
        <v>0</v>
      </c>
      <c r="AH36" s="137">
        <f t="shared" si="32"/>
        <v>0</v>
      </c>
      <c r="AI36" s="139">
        <f t="shared" si="33"/>
        <v>0</v>
      </c>
      <c r="AJ36" s="137">
        <f t="shared" si="34"/>
        <v>0</v>
      </c>
      <c r="AK36" s="139">
        <f t="shared" si="35"/>
        <v>0</v>
      </c>
      <c r="AL36" s="137">
        <f t="shared" si="36"/>
        <v>0</v>
      </c>
      <c r="AM36" s="139">
        <f t="shared" si="37"/>
        <v>0</v>
      </c>
      <c r="AN36" s="137">
        <f t="shared" si="38"/>
        <v>0</v>
      </c>
      <c r="AO36" s="139">
        <f t="shared" si="39"/>
        <v>0</v>
      </c>
      <c r="AP36" s="134">
        <f t="shared" si="40"/>
        <v>0</v>
      </c>
      <c r="AQ36" s="141">
        <f t="shared" si="41"/>
        <v>0</v>
      </c>
      <c r="AR36" s="137">
        <f t="shared" si="42"/>
        <v>0</v>
      </c>
      <c r="AS36" s="142">
        <f t="shared" si="46"/>
        <v>0</v>
      </c>
      <c r="AT36" s="142">
        <f t="shared" si="46"/>
        <v>0</v>
      </c>
      <c r="AU36" s="141">
        <f t="shared" si="43"/>
        <v>0</v>
      </c>
      <c r="AV36" s="141">
        <f t="shared" si="44"/>
        <v>0</v>
      </c>
      <c r="AW36" s="4" t="e">
        <f t="shared" si="47"/>
        <v>#NUM!</v>
      </c>
      <c r="AX36" s="4" t="e">
        <f t="shared" si="48"/>
        <v>#NUM!</v>
      </c>
      <c r="AY36" s="4" t="e">
        <f t="shared" si="49"/>
        <v>#NUM!</v>
      </c>
      <c r="AZ36" s="361">
        <f>IF(AR14&lt;=7,LOOKUP(AR14,Time_completion_user),AR14*LOOKUP(AR14,'Scaling Functions'!$G$125:$H$131))</f>
        <v>0</v>
      </c>
      <c r="BA36" s="14"/>
      <c r="BB36" s="257"/>
      <c r="BC36" s="14"/>
      <c r="BD36" s="14"/>
      <c r="BE36" s="14"/>
      <c r="BF36" s="14"/>
      <c r="BG36" s="14"/>
      <c r="BH36" s="14"/>
    </row>
    <row r="37" spans="1:60" ht="12.75">
      <c r="A37" s="112">
        <f t="shared" si="45"/>
      </c>
      <c r="B37" s="139">
        <f t="shared" si="0"/>
        <v>0</v>
      </c>
      <c r="C37" s="134">
        <f t="shared" si="1"/>
        <v>0</v>
      </c>
      <c r="D37" s="134">
        <f t="shared" si="2"/>
        <v>0</v>
      </c>
      <c r="E37" s="134">
        <f t="shared" si="3"/>
        <v>0</v>
      </c>
      <c r="F37" s="137">
        <f t="shared" si="4"/>
        <v>0</v>
      </c>
      <c r="G37" s="139">
        <f t="shared" si="5"/>
        <v>0</v>
      </c>
      <c r="H37" s="134">
        <f t="shared" si="6"/>
        <v>0</v>
      </c>
      <c r="I37" s="134">
        <f t="shared" si="7"/>
        <v>0</v>
      </c>
      <c r="J37" s="134">
        <f t="shared" si="8"/>
        <v>0</v>
      </c>
      <c r="K37" s="137">
        <f t="shared" si="9"/>
        <v>0</v>
      </c>
      <c r="L37" s="139">
        <f t="shared" si="10"/>
        <v>0</v>
      </c>
      <c r="M37" s="134">
        <f t="shared" si="11"/>
        <v>0</v>
      </c>
      <c r="N37" s="134">
        <f t="shared" si="12"/>
        <v>0</v>
      </c>
      <c r="O37" s="134">
        <f t="shared" si="13"/>
        <v>0</v>
      </c>
      <c r="P37" s="137">
        <f t="shared" si="14"/>
        <v>0</v>
      </c>
      <c r="Q37" s="139">
        <f t="shared" si="15"/>
        <v>0</v>
      </c>
      <c r="R37" s="134">
        <f t="shared" si="16"/>
        <v>0</v>
      </c>
      <c r="S37" s="134">
        <f t="shared" si="17"/>
        <v>0</v>
      </c>
      <c r="T37" s="134">
        <f t="shared" si="18"/>
        <v>0</v>
      </c>
      <c r="U37" s="137">
        <f t="shared" si="19"/>
        <v>0</v>
      </c>
      <c r="V37" s="140">
        <f t="shared" si="20"/>
        <v>0</v>
      </c>
      <c r="W37" s="119">
        <f t="shared" si="50"/>
        <v>0</v>
      </c>
      <c r="X37" s="69">
        <f t="shared" si="22"/>
        <v>0</v>
      </c>
      <c r="Y37" s="139">
        <f t="shared" si="23"/>
        <v>0</v>
      </c>
      <c r="Z37" s="137">
        <f t="shared" si="24"/>
        <v>0</v>
      </c>
      <c r="AA37" s="139">
        <f t="shared" si="25"/>
        <v>0</v>
      </c>
      <c r="AB37" s="137">
        <f t="shared" si="26"/>
        <v>0</v>
      </c>
      <c r="AC37" s="139">
        <f t="shared" si="27"/>
        <v>0</v>
      </c>
      <c r="AD37" s="137">
        <f t="shared" si="28"/>
        <v>0</v>
      </c>
      <c r="AE37" s="139">
        <f t="shared" si="29"/>
        <v>0</v>
      </c>
      <c r="AF37" s="137">
        <f t="shared" si="30"/>
        <v>0</v>
      </c>
      <c r="AG37" s="139">
        <f t="shared" si="31"/>
        <v>0</v>
      </c>
      <c r="AH37" s="137">
        <f t="shared" si="32"/>
        <v>0</v>
      </c>
      <c r="AI37" s="139">
        <f t="shared" si="33"/>
        <v>0</v>
      </c>
      <c r="AJ37" s="137">
        <f t="shared" si="34"/>
        <v>0</v>
      </c>
      <c r="AK37" s="139">
        <f t="shared" si="35"/>
        <v>0</v>
      </c>
      <c r="AL37" s="137">
        <f t="shared" si="36"/>
        <v>0</v>
      </c>
      <c r="AM37" s="139">
        <f t="shared" si="37"/>
        <v>0</v>
      </c>
      <c r="AN37" s="137">
        <f t="shared" si="38"/>
        <v>0</v>
      </c>
      <c r="AO37" s="139">
        <f t="shared" si="39"/>
        <v>0</v>
      </c>
      <c r="AP37" s="134">
        <f t="shared" si="40"/>
        <v>0</v>
      </c>
      <c r="AQ37" s="141">
        <f t="shared" si="41"/>
        <v>0</v>
      </c>
      <c r="AR37" s="137">
        <f t="shared" si="42"/>
        <v>0</v>
      </c>
      <c r="AS37" s="142">
        <f t="shared" si="46"/>
        <v>0</v>
      </c>
      <c r="AT37" s="142">
        <f t="shared" si="46"/>
        <v>0</v>
      </c>
      <c r="AU37" s="141">
        <f t="shared" si="43"/>
        <v>0</v>
      </c>
      <c r="AV37" s="141">
        <f t="shared" si="44"/>
        <v>0</v>
      </c>
      <c r="AW37" s="4" t="e">
        <f t="shared" si="47"/>
        <v>#NUM!</v>
      </c>
      <c r="AX37" s="4" t="e">
        <f t="shared" si="48"/>
        <v>#NUM!</v>
      </c>
      <c r="AY37" s="4" t="e">
        <f t="shared" si="49"/>
        <v>#NUM!</v>
      </c>
      <c r="AZ37" s="361">
        <f>IF(AR15&lt;=7,LOOKUP(AR15,Time_completion_user),AR15*LOOKUP(AR15,'Scaling Functions'!$G$125:$H$131))</f>
        <v>0</v>
      </c>
      <c r="BA37" s="14"/>
      <c r="BB37" s="14"/>
      <c r="BC37" s="14"/>
      <c r="BD37" s="14"/>
      <c r="BE37" s="14"/>
      <c r="BF37" s="14"/>
      <c r="BG37" s="14"/>
      <c r="BH37" s="14"/>
    </row>
    <row r="38" spans="1:60" ht="12.75">
      <c r="A38" s="112">
        <f t="shared" si="45"/>
      </c>
      <c r="B38" s="139">
        <f t="shared" si="0"/>
        <v>0</v>
      </c>
      <c r="C38" s="134">
        <f t="shared" si="1"/>
        <v>0</v>
      </c>
      <c r="D38" s="134">
        <f t="shared" si="2"/>
        <v>0</v>
      </c>
      <c r="E38" s="134">
        <f t="shared" si="3"/>
        <v>0</v>
      </c>
      <c r="F38" s="137">
        <f t="shared" si="4"/>
        <v>0</v>
      </c>
      <c r="G38" s="139">
        <f t="shared" si="5"/>
        <v>0</v>
      </c>
      <c r="H38" s="134">
        <f t="shared" si="6"/>
        <v>0</v>
      </c>
      <c r="I38" s="134">
        <f t="shared" si="7"/>
        <v>0</v>
      </c>
      <c r="J38" s="134">
        <f t="shared" si="8"/>
        <v>0</v>
      </c>
      <c r="K38" s="137">
        <f t="shared" si="9"/>
        <v>0</v>
      </c>
      <c r="L38" s="139">
        <f t="shared" si="10"/>
        <v>0</v>
      </c>
      <c r="M38" s="134">
        <f t="shared" si="11"/>
        <v>0</v>
      </c>
      <c r="N38" s="134">
        <f t="shared" si="12"/>
        <v>0</v>
      </c>
      <c r="O38" s="134">
        <f t="shared" si="13"/>
        <v>0</v>
      </c>
      <c r="P38" s="137">
        <f t="shared" si="14"/>
        <v>0</v>
      </c>
      <c r="Q38" s="139">
        <f t="shared" si="15"/>
        <v>0</v>
      </c>
      <c r="R38" s="134">
        <f t="shared" si="16"/>
        <v>0</v>
      </c>
      <c r="S38" s="134">
        <f t="shared" si="17"/>
        <v>0</v>
      </c>
      <c r="T38" s="134">
        <f t="shared" si="18"/>
        <v>0</v>
      </c>
      <c r="U38" s="137">
        <f t="shared" si="19"/>
        <v>0</v>
      </c>
      <c r="V38" s="140">
        <f t="shared" si="20"/>
        <v>0</v>
      </c>
      <c r="W38" s="119">
        <f t="shared" si="50"/>
        <v>0</v>
      </c>
      <c r="X38" s="69">
        <f t="shared" si="22"/>
        <v>0</v>
      </c>
      <c r="Y38" s="139">
        <f t="shared" si="23"/>
        <v>0</v>
      </c>
      <c r="Z38" s="137">
        <f t="shared" si="24"/>
        <v>0</v>
      </c>
      <c r="AA38" s="139">
        <f t="shared" si="25"/>
        <v>0</v>
      </c>
      <c r="AB38" s="137">
        <f t="shared" si="26"/>
        <v>0</v>
      </c>
      <c r="AC38" s="139">
        <f t="shared" si="27"/>
        <v>0</v>
      </c>
      <c r="AD38" s="137">
        <f t="shared" si="28"/>
        <v>0</v>
      </c>
      <c r="AE38" s="139">
        <f t="shared" si="29"/>
        <v>0</v>
      </c>
      <c r="AF38" s="137">
        <f t="shared" si="30"/>
        <v>0</v>
      </c>
      <c r="AG38" s="139">
        <f t="shared" si="31"/>
        <v>0</v>
      </c>
      <c r="AH38" s="137">
        <f t="shared" si="32"/>
        <v>0</v>
      </c>
      <c r="AI38" s="139">
        <f t="shared" si="33"/>
        <v>0</v>
      </c>
      <c r="AJ38" s="137">
        <f t="shared" si="34"/>
        <v>0</v>
      </c>
      <c r="AK38" s="139">
        <f t="shared" si="35"/>
        <v>0</v>
      </c>
      <c r="AL38" s="137">
        <f t="shared" si="36"/>
        <v>0</v>
      </c>
      <c r="AM38" s="139">
        <f t="shared" si="37"/>
        <v>0</v>
      </c>
      <c r="AN38" s="137">
        <f t="shared" si="38"/>
        <v>0</v>
      </c>
      <c r="AO38" s="139">
        <f t="shared" si="39"/>
        <v>0</v>
      </c>
      <c r="AP38" s="134">
        <f t="shared" si="40"/>
        <v>0</v>
      </c>
      <c r="AQ38" s="141">
        <f t="shared" si="41"/>
        <v>0</v>
      </c>
      <c r="AR38" s="137">
        <f t="shared" si="42"/>
        <v>0</v>
      </c>
      <c r="AS38" s="142">
        <f t="shared" si="46"/>
        <v>0</v>
      </c>
      <c r="AT38" s="142">
        <f t="shared" si="46"/>
        <v>0</v>
      </c>
      <c r="AU38" s="141">
        <f t="shared" si="43"/>
        <v>0</v>
      </c>
      <c r="AV38" s="141">
        <f t="shared" si="44"/>
        <v>0</v>
      </c>
      <c r="AW38" s="4" t="e">
        <f t="shared" si="47"/>
        <v>#NUM!</v>
      </c>
      <c r="AX38" s="4" t="e">
        <f t="shared" si="48"/>
        <v>#NUM!</v>
      </c>
      <c r="AY38" s="4" t="e">
        <f t="shared" si="49"/>
        <v>#NUM!</v>
      </c>
      <c r="AZ38" s="361">
        <f>IF(AR16&lt;=7,LOOKUP(AR16,Time_completion_user),AR16*LOOKUP(AR16,'Scaling Functions'!$G$125:$H$131))</f>
        <v>0</v>
      </c>
      <c r="BA38" s="14"/>
      <c r="BB38" s="14"/>
      <c r="BC38" s="14"/>
      <c r="BD38" s="14"/>
      <c r="BE38" s="14"/>
      <c r="BF38" s="14"/>
      <c r="BG38" s="14"/>
      <c r="BH38" s="14"/>
    </row>
    <row r="39" spans="1:60" ht="12.75">
      <c r="A39" s="112">
        <f t="shared" si="45"/>
      </c>
      <c r="B39" s="139">
        <f t="shared" si="0"/>
        <v>0</v>
      </c>
      <c r="C39" s="134">
        <f t="shared" si="1"/>
        <v>0</v>
      </c>
      <c r="D39" s="134">
        <f t="shared" si="2"/>
        <v>0</v>
      </c>
      <c r="E39" s="134">
        <f t="shared" si="3"/>
        <v>0</v>
      </c>
      <c r="F39" s="137">
        <f t="shared" si="4"/>
        <v>0</v>
      </c>
      <c r="G39" s="139">
        <f t="shared" si="5"/>
        <v>0</v>
      </c>
      <c r="H39" s="134">
        <f t="shared" si="6"/>
        <v>0</v>
      </c>
      <c r="I39" s="134">
        <f t="shared" si="7"/>
        <v>0</v>
      </c>
      <c r="J39" s="134">
        <f t="shared" si="8"/>
        <v>0</v>
      </c>
      <c r="K39" s="137">
        <f t="shared" si="9"/>
        <v>0</v>
      </c>
      <c r="L39" s="139">
        <f t="shared" si="10"/>
        <v>0</v>
      </c>
      <c r="M39" s="134">
        <f t="shared" si="11"/>
        <v>0</v>
      </c>
      <c r="N39" s="134">
        <f t="shared" si="12"/>
        <v>0</v>
      </c>
      <c r="O39" s="134">
        <f t="shared" si="13"/>
        <v>0</v>
      </c>
      <c r="P39" s="137">
        <f t="shared" si="14"/>
        <v>0</v>
      </c>
      <c r="Q39" s="139">
        <f t="shared" si="15"/>
        <v>0</v>
      </c>
      <c r="R39" s="134">
        <f t="shared" si="16"/>
        <v>0</v>
      </c>
      <c r="S39" s="134">
        <f t="shared" si="17"/>
        <v>0</v>
      </c>
      <c r="T39" s="134">
        <f t="shared" si="18"/>
        <v>0</v>
      </c>
      <c r="U39" s="137">
        <f t="shared" si="19"/>
        <v>0</v>
      </c>
      <c r="V39" s="140">
        <f t="shared" si="20"/>
        <v>0</v>
      </c>
      <c r="W39" s="119">
        <f t="shared" si="50"/>
        <v>0</v>
      </c>
      <c r="X39" s="69">
        <f t="shared" si="22"/>
        <v>0</v>
      </c>
      <c r="Y39" s="139">
        <f t="shared" si="23"/>
        <v>0</v>
      </c>
      <c r="Z39" s="137">
        <f t="shared" si="24"/>
        <v>0</v>
      </c>
      <c r="AA39" s="139">
        <f t="shared" si="25"/>
        <v>0</v>
      </c>
      <c r="AB39" s="137">
        <f t="shared" si="26"/>
        <v>0</v>
      </c>
      <c r="AC39" s="139">
        <f t="shared" si="27"/>
        <v>0</v>
      </c>
      <c r="AD39" s="137">
        <f t="shared" si="28"/>
        <v>0</v>
      </c>
      <c r="AE39" s="139">
        <f t="shared" si="29"/>
        <v>0</v>
      </c>
      <c r="AF39" s="137">
        <f t="shared" si="30"/>
        <v>0</v>
      </c>
      <c r="AG39" s="139">
        <f t="shared" si="31"/>
        <v>0</v>
      </c>
      <c r="AH39" s="137">
        <f t="shared" si="32"/>
        <v>0</v>
      </c>
      <c r="AI39" s="139">
        <f t="shared" si="33"/>
        <v>0</v>
      </c>
      <c r="AJ39" s="137">
        <f t="shared" si="34"/>
        <v>0</v>
      </c>
      <c r="AK39" s="139">
        <f t="shared" si="35"/>
        <v>0</v>
      </c>
      <c r="AL39" s="137">
        <f t="shared" si="36"/>
        <v>0</v>
      </c>
      <c r="AM39" s="139">
        <f t="shared" si="37"/>
        <v>0</v>
      </c>
      <c r="AN39" s="137">
        <f t="shared" si="38"/>
        <v>0</v>
      </c>
      <c r="AO39" s="139">
        <f t="shared" si="39"/>
        <v>0</v>
      </c>
      <c r="AP39" s="134">
        <f t="shared" si="40"/>
        <v>0</v>
      </c>
      <c r="AQ39" s="141">
        <f t="shared" si="41"/>
        <v>0</v>
      </c>
      <c r="AR39" s="137">
        <f t="shared" si="42"/>
        <v>0</v>
      </c>
      <c r="AS39" s="142">
        <f t="shared" si="46"/>
        <v>0</v>
      </c>
      <c r="AT39" s="142">
        <f t="shared" si="46"/>
        <v>0</v>
      </c>
      <c r="AU39" s="141">
        <f t="shared" si="43"/>
        <v>0</v>
      </c>
      <c r="AV39" s="141">
        <f t="shared" si="44"/>
        <v>0</v>
      </c>
      <c r="AW39" s="4" t="e">
        <f t="shared" si="47"/>
        <v>#NUM!</v>
      </c>
      <c r="AX39" s="4" t="e">
        <f t="shared" si="48"/>
        <v>#NUM!</v>
      </c>
      <c r="AY39" s="4" t="e">
        <f t="shared" si="49"/>
        <v>#NUM!</v>
      </c>
      <c r="AZ39" s="361">
        <f>IF(AR17&lt;=7,LOOKUP(AR17,Time_completion_user),AR17*LOOKUP(AR17,'Scaling Functions'!$G$125:$H$131))</f>
        <v>0</v>
      </c>
      <c r="BA39" s="14"/>
      <c r="BB39" s="14"/>
      <c r="BC39" s="14"/>
      <c r="BD39" s="14"/>
      <c r="BE39" s="14"/>
      <c r="BF39" s="14"/>
      <c r="BG39" s="14"/>
      <c r="BH39" s="14"/>
    </row>
    <row r="40" spans="1:60" ht="12.75">
      <c r="A40" s="112">
        <f t="shared" si="45"/>
      </c>
      <c r="B40" s="139">
        <f t="shared" si="0"/>
        <v>0</v>
      </c>
      <c r="C40" s="134">
        <f t="shared" si="1"/>
        <v>0</v>
      </c>
      <c r="D40" s="134">
        <f t="shared" si="2"/>
        <v>0</v>
      </c>
      <c r="E40" s="134">
        <f t="shared" si="3"/>
        <v>0</v>
      </c>
      <c r="F40" s="137">
        <f t="shared" si="4"/>
        <v>0</v>
      </c>
      <c r="G40" s="139">
        <f t="shared" si="5"/>
        <v>0</v>
      </c>
      <c r="H40" s="134">
        <f t="shared" si="6"/>
        <v>0</v>
      </c>
      <c r="I40" s="134">
        <f t="shared" si="7"/>
        <v>0</v>
      </c>
      <c r="J40" s="134">
        <f t="shared" si="8"/>
        <v>0</v>
      </c>
      <c r="K40" s="137">
        <f t="shared" si="9"/>
        <v>0</v>
      </c>
      <c r="L40" s="139">
        <f t="shared" si="10"/>
        <v>0</v>
      </c>
      <c r="M40" s="134">
        <f t="shared" si="11"/>
        <v>0</v>
      </c>
      <c r="N40" s="134">
        <f t="shared" si="12"/>
        <v>0</v>
      </c>
      <c r="O40" s="134">
        <f t="shared" si="13"/>
        <v>0</v>
      </c>
      <c r="P40" s="137">
        <f t="shared" si="14"/>
        <v>0</v>
      </c>
      <c r="Q40" s="139">
        <f t="shared" si="15"/>
        <v>0</v>
      </c>
      <c r="R40" s="134">
        <f t="shared" si="16"/>
        <v>0</v>
      </c>
      <c r="S40" s="134">
        <f t="shared" si="17"/>
        <v>0</v>
      </c>
      <c r="T40" s="134">
        <f t="shared" si="18"/>
        <v>0</v>
      </c>
      <c r="U40" s="137">
        <f t="shared" si="19"/>
        <v>0</v>
      </c>
      <c r="V40" s="140">
        <f t="shared" si="20"/>
        <v>0</v>
      </c>
      <c r="W40" s="119">
        <f t="shared" si="50"/>
        <v>0</v>
      </c>
      <c r="X40" s="69">
        <f t="shared" si="22"/>
        <v>0</v>
      </c>
      <c r="Y40" s="139">
        <f t="shared" si="23"/>
        <v>0</v>
      </c>
      <c r="Z40" s="137">
        <f t="shared" si="24"/>
        <v>0</v>
      </c>
      <c r="AA40" s="139">
        <f t="shared" si="25"/>
        <v>0</v>
      </c>
      <c r="AB40" s="137">
        <f t="shared" si="26"/>
        <v>0</v>
      </c>
      <c r="AC40" s="139">
        <f t="shared" si="27"/>
        <v>0</v>
      </c>
      <c r="AD40" s="137">
        <f t="shared" si="28"/>
        <v>0</v>
      </c>
      <c r="AE40" s="139">
        <f t="shared" si="29"/>
        <v>0</v>
      </c>
      <c r="AF40" s="137">
        <f t="shared" si="30"/>
        <v>0</v>
      </c>
      <c r="AG40" s="139">
        <f t="shared" si="31"/>
        <v>0</v>
      </c>
      <c r="AH40" s="137">
        <f t="shared" si="32"/>
        <v>0</v>
      </c>
      <c r="AI40" s="139">
        <f t="shared" si="33"/>
        <v>0</v>
      </c>
      <c r="AJ40" s="137">
        <f t="shared" si="34"/>
        <v>0</v>
      </c>
      <c r="AK40" s="139">
        <f t="shared" si="35"/>
        <v>0</v>
      </c>
      <c r="AL40" s="137">
        <f t="shared" si="36"/>
        <v>0</v>
      </c>
      <c r="AM40" s="139">
        <f t="shared" si="37"/>
        <v>0</v>
      </c>
      <c r="AN40" s="137">
        <f t="shared" si="38"/>
        <v>0</v>
      </c>
      <c r="AO40" s="139">
        <f t="shared" si="39"/>
        <v>0</v>
      </c>
      <c r="AP40" s="134">
        <f t="shared" si="40"/>
        <v>0</v>
      </c>
      <c r="AQ40" s="141">
        <f t="shared" si="41"/>
        <v>0</v>
      </c>
      <c r="AR40" s="137">
        <f t="shared" si="42"/>
        <v>0</v>
      </c>
      <c r="AS40" s="142">
        <f t="shared" si="46"/>
        <v>0</v>
      </c>
      <c r="AT40" s="142">
        <f t="shared" si="46"/>
        <v>0</v>
      </c>
      <c r="AU40" s="141">
        <f t="shared" si="43"/>
        <v>0</v>
      </c>
      <c r="AV40" s="141">
        <f t="shared" si="44"/>
        <v>0</v>
      </c>
      <c r="AW40" s="4" t="e">
        <f t="shared" si="47"/>
        <v>#NUM!</v>
      </c>
      <c r="AX40" s="4" t="e">
        <f t="shared" si="48"/>
        <v>#NUM!</v>
      </c>
      <c r="AY40" s="4" t="e">
        <f t="shared" si="49"/>
        <v>#NUM!</v>
      </c>
      <c r="AZ40" s="361">
        <f>IF(AR18&lt;=7,LOOKUP(AR18,Time_completion_user),AR18*LOOKUP(AR18,'Scaling Functions'!$G$125:$H$131))</f>
        <v>0</v>
      </c>
      <c r="BA40" s="14"/>
      <c r="BB40" s="14"/>
      <c r="BC40" s="14"/>
      <c r="BD40" s="14"/>
      <c r="BE40" s="14"/>
      <c r="BF40" s="14"/>
      <c r="BG40" s="14"/>
      <c r="BH40" s="14"/>
    </row>
    <row r="41" spans="1:60" ht="12.75">
      <c r="A41" s="112">
        <f t="shared" si="45"/>
      </c>
      <c r="B41" s="139">
        <f t="shared" si="0"/>
        <v>0</v>
      </c>
      <c r="C41" s="134">
        <f t="shared" si="1"/>
        <v>0</v>
      </c>
      <c r="D41" s="134">
        <f t="shared" si="2"/>
        <v>0</v>
      </c>
      <c r="E41" s="134">
        <f t="shared" si="3"/>
        <v>0</v>
      </c>
      <c r="F41" s="137">
        <f t="shared" si="4"/>
        <v>0</v>
      </c>
      <c r="G41" s="139">
        <f t="shared" si="5"/>
        <v>0</v>
      </c>
      <c r="H41" s="134">
        <f t="shared" si="6"/>
        <v>0</v>
      </c>
      <c r="I41" s="134">
        <f t="shared" si="7"/>
        <v>0</v>
      </c>
      <c r="J41" s="134">
        <f t="shared" si="8"/>
        <v>0</v>
      </c>
      <c r="K41" s="137">
        <f t="shared" si="9"/>
        <v>0</v>
      </c>
      <c r="L41" s="139">
        <f t="shared" si="10"/>
        <v>0</v>
      </c>
      <c r="M41" s="134">
        <f t="shared" si="11"/>
        <v>0</v>
      </c>
      <c r="N41" s="134">
        <f t="shared" si="12"/>
        <v>0</v>
      </c>
      <c r="O41" s="134">
        <f t="shared" si="13"/>
        <v>0</v>
      </c>
      <c r="P41" s="137">
        <f t="shared" si="14"/>
        <v>0</v>
      </c>
      <c r="Q41" s="139">
        <f t="shared" si="15"/>
        <v>0</v>
      </c>
      <c r="R41" s="134">
        <f t="shared" si="16"/>
        <v>0</v>
      </c>
      <c r="S41" s="134">
        <f t="shared" si="17"/>
        <v>0</v>
      </c>
      <c r="T41" s="134">
        <f t="shared" si="18"/>
        <v>0</v>
      </c>
      <c r="U41" s="137">
        <f t="shared" si="19"/>
        <v>0</v>
      </c>
      <c r="V41" s="140">
        <f t="shared" si="20"/>
        <v>0</v>
      </c>
      <c r="W41" s="119">
        <f t="shared" si="50"/>
        <v>0</v>
      </c>
      <c r="X41" s="69">
        <f t="shared" si="22"/>
        <v>0</v>
      </c>
      <c r="Y41" s="139">
        <f t="shared" si="23"/>
        <v>0</v>
      </c>
      <c r="Z41" s="137">
        <f t="shared" si="24"/>
        <v>0</v>
      </c>
      <c r="AA41" s="139">
        <f t="shared" si="25"/>
        <v>0</v>
      </c>
      <c r="AB41" s="137">
        <f t="shared" si="26"/>
        <v>0</v>
      </c>
      <c r="AC41" s="139">
        <f t="shared" si="27"/>
        <v>0</v>
      </c>
      <c r="AD41" s="137">
        <f t="shared" si="28"/>
        <v>0</v>
      </c>
      <c r="AE41" s="139">
        <f t="shared" si="29"/>
        <v>0</v>
      </c>
      <c r="AF41" s="137">
        <f t="shared" si="30"/>
        <v>0</v>
      </c>
      <c r="AG41" s="139">
        <f t="shared" si="31"/>
        <v>0</v>
      </c>
      <c r="AH41" s="137">
        <f t="shared" si="32"/>
        <v>0</v>
      </c>
      <c r="AI41" s="139">
        <f t="shared" si="33"/>
        <v>0</v>
      </c>
      <c r="AJ41" s="137">
        <f t="shared" si="34"/>
        <v>0</v>
      </c>
      <c r="AK41" s="139">
        <f t="shared" si="35"/>
        <v>0</v>
      </c>
      <c r="AL41" s="137">
        <f t="shared" si="36"/>
        <v>0</v>
      </c>
      <c r="AM41" s="139">
        <f t="shared" si="37"/>
        <v>0</v>
      </c>
      <c r="AN41" s="137">
        <f t="shared" si="38"/>
        <v>0</v>
      </c>
      <c r="AO41" s="139">
        <f t="shared" si="39"/>
        <v>0</v>
      </c>
      <c r="AP41" s="134">
        <f t="shared" si="40"/>
        <v>0</v>
      </c>
      <c r="AQ41" s="141">
        <f t="shared" si="41"/>
        <v>0</v>
      </c>
      <c r="AR41" s="137">
        <f t="shared" si="42"/>
        <v>0</v>
      </c>
      <c r="AS41" s="142">
        <f t="shared" si="46"/>
        <v>0</v>
      </c>
      <c r="AT41" s="142">
        <f t="shared" si="46"/>
        <v>0</v>
      </c>
      <c r="AU41" s="141">
        <f t="shared" si="43"/>
        <v>0</v>
      </c>
      <c r="AV41" s="141">
        <f t="shared" si="44"/>
        <v>0</v>
      </c>
      <c r="AW41" s="4" t="e">
        <f t="shared" si="47"/>
        <v>#NUM!</v>
      </c>
      <c r="AX41" s="4" t="e">
        <f t="shared" si="48"/>
        <v>#NUM!</v>
      </c>
      <c r="AY41" s="4" t="e">
        <f t="shared" si="49"/>
        <v>#NUM!</v>
      </c>
      <c r="AZ41" s="361">
        <f>IF(AR19&lt;=7,LOOKUP(AR19,Time_completion_user),AR19*LOOKUP(AR19,'Scaling Functions'!$G$125:$H$131))</f>
        <v>0</v>
      </c>
      <c r="BA41" s="14"/>
      <c r="BB41" s="14"/>
      <c r="BC41" s="14"/>
      <c r="BD41" s="14"/>
      <c r="BE41" s="14"/>
      <c r="BF41" s="14"/>
      <c r="BG41" s="14"/>
      <c r="BH41" s="14"/>
    </row>
    <row r="42" spans="1:60" ht="12.75">
      <c r="A42" s="112">
        <f t="shared" si="45"/>
      </c>
      <c r="B42" s="139">
        <f t="shared" si="0"/>
        <v>0</v>
      </c>
      <c r="C42" s="134">
        <f t="shared" si="1"/>
        <v>0</v>
      </c>
      <c r="D42" s="134">
        <f t="shared" si="2"/>
        <v>0</v>
      </c>
      <c r="E42" s="134">
        <f t="shared" si="3"/>
        <v>0</v>
      </c>
      <c r="F42" s="137">
        <f t="shared" si="4"/>
        <v>0</v>
      </c>
      <c r="G42" s="139">
        <f t="shared" si="5"/>
        <v>0</v>
      </c>
      <c r="H42" s="134">
        <f t="shared" si="6"/>
        <v>0</v>
      </c>
      <c r="I42" s="134">
        <f t="shared" si="7"/>
        <v>0</v>
      </c>
      <c r="J42" s="134">
        <f t="shared" si="8"/>
        <v>0</v>
      </c>
      <c r="K42" s="137">
        <f t="shared" si="9"/>
        <v>0</v>
      </c>
      <c r="L42" s="139">
        <f t="shared" si="10"/>
        <v>0</v>
      </c>
      <c r="M42" s="134">
        <f t="shared" si="11"/>
        <v>0</v>
      </c>
      <c r="N42" s="134">
        <f t="shared" si="12"/>
        <v>0</v>
      </c>
      <c r="O42" s="134">
        <f t="shared" si="13"/>
        <v>0</v>
      </c>
      <c r="P42" s="137">
        <f t="shared" si="14"/>
        <v>0</v>
      </c>
      <c r="Q42" s="139">
        <f t="shared" si="15"/>
        <v>0</v>
      </c>
      <c r="R42" s="134">
        <f t="shared" si="16"/>
        <v>0</v>
      </c>
      <c r="S42" s="134">
        <f t="shared" si="17"/>
        <v>0</v>
      </c>
      <c r="T42" s="134">
        <f t="shared" si="18"/>
        <v>0</v>
      </c>
      <c r="U42" s="137">
        <f t="shared" si="19"/>
        <v>0</v>
      </c>
      <c r="V42" s="140">
        <f t="shared" si="20"/>
        <v>0</v>
      </c>
      <c r="W42" s="119">
        <f t="shared" si="50"/>
        <v>0</v>
      </c>
      <c r="X42" s="69">
        <f t="shared" si="22"/>
        <v>0</v>
      </c>
      <c r="Y42" s="139">
        <f t="shared" si="23"/>
        <v>0</v>
      </c>
      <c r="Z42" s="137">
        <f t="shared" si="24"/>
        <v>0</v>
      </c>
      <c r="AA42" s="139">
        <f t="shared" si="25"/>
        <v>0</v>
      </c>
      <c r="AB42" s="137">
        <f t="shared" si="26"/>
        <v>0</v>
      </c>
      <c r="AC42" s="139">
        <f t="shared" si="27"/>
        <v>0</v>
      </c>
      <c r="AD42" s="137">
        <f t="shared" si="28"/>
        <v>0</v>
      </c>
      <c r="AE42" s="139">
        <f t="shared" si="29"/>
        <v>0</v>
      </c>
      <c r="AF42" s="137">
        <f t="shared" si="30"/>
        <v>0</v>
      </c>
      <c r="AG42" s="139">
        <f t="shared" si="31"/>
        <v>0</v>
      </c>
      <c r="AH42" s="137">
        <f t="shared" si="32"/>
        <v>0</v>
      </c>
      <c r="AI42" s="139">
        <f t="shared" si="33"/>
        <v>0</v>
      </c>
      <c r="AJ42" s="137">
        <f t="shared" si="34"/>
        <v>0</v>
      </c>
      <c r="AK42" s="139">
        <f t="shared" si="35"/>
        <v>0</v>
      </c>
      <c r="AL42" s="137">
        <f t="shared" si="36"/>
        <v>0</v>
      </c>
      <c r="AM42" s="139">
        <f t="shared" si="37"/>
        <v>0</v>
      </c>
      <c r="AN42" s="137">
        <f t="shared" si="38"/>
        <v>0</v>
      </c>
      <c r="AO42" s="139">
        <f t="shared" si="39"/>
        <v>0</v>
      </c>
      <c r="AP42" s="134">
        <f t="shared" si="40"/>
        <v>0</v>
      </c>
      <c r="AQ42" s="141">
        <f t="shared" si="41"/>
        <v>0</v>
      </c>
      <c r="AR42" s="137">
        <f t="shared" si="42"/>
        <v>0</v>
      </c>
      <c r="AS42" s="142">
        <f t="shared" si="46"/>
        <v>0</v>
      </c>
      <c r="AT42" s="142">
        <f t="shared" si="46"/>
        <v>0</v>
      </c>
      <c r="AU42" s="141">
        <f t="shared" si="43"/>
        <v>0</v>
      </c>
      <c r="AV42" s="141">
        <f t="shared" si="44"/>
        <v>0</v>
      </c>
      <c r="AW42" s="4" t="e">
        <f t="shared" si="47"/>
        <v>#NUM!</v>
      </c>
      <c r="AX42" s="4" t="e">
        <f t="shared" si="48"/>
        <v>#NUM!</v>
      </c>
      <c r="AY42" s="4" t="e">
        <f t="shared" si="49"/>
        <v>#NUM!</v>
      </c>
      <c r="AZ42" s="361">
        <f>IF(AR20&lt;=7,LOOKUP(AR20,Time_completion_user),AR20*LOOKUP(AR20,'Scaling Functions'!$G$125:$H$131))</f>
        <v>0</v>
      </c>
      <c r="BA42" s="14"/>
      <c r="BB42" s="14"/>
      <c r="BC42" s="14"/>
      <c r="BD42" s="14"/>
      <c r="BE42" s="14"/>
      <c r="BF42" s="14"/>
      <c r="BG42" s="14"/>
      <c r="BH42" s="14"/>
    </row>
    <row r="43" spans="1:60" ht="12.75">
      <c r="A43" s="112">
        <f t="shared" si="45"/>
      </c>
      <c r="B43" s="139">
        <f t="shared" si="0"/>
        <v>0</v>
      </c>
      <c r="C43" s="134">
        <f t="shared" si="1"/>
        <v>0</v>
      </c>
      <c r="D43" s="134">
        <f t="shared" si="2"/>
        <v>0</v>
      </c>
      <c r="E43" s="134">
        <f t="shared" si="3"/>
        <v>0</v>
      </c>
      <c r="F43" s="137">
        <f t="shared" si="4"/>
        <v>0</v>
      </c>
      <c r="G43" s="139">
        <f t="shared" si="5"/>
        <v>0</v>
      </c>
      <c r="H43" s="134">
        <f t="shared" si="6"/>
        <v>0</v>
      </c>
      <c r="I43" s="134">
        <f t="shared" si="7"/>
        <v>0</v>
      </c>
      <c r="J43" s="134">
        <f t="shared" si="8"/>
        <v>0</v>
      </c>
      <c r="K43" s="137">
        <f t="shared" si="9"/>
        <v>0</v>
      </c>
      <c r="L43" s="139">
        <f t="shared" si="10"/>
        <v>0</v>
      </c>
      <c r="M43" s="134">
        <f t="shared" si="11"/>
        <v>0</v>
      </c>
      <c r="N43" s="134">
        <f t="shared" si="12"/>
        <v>0</v>
      </c>
      <c r="O43" s="134">
        <f t="shared" si="13"/>
        <v>0</v>
      </c>
      <c r="P43" s="137">
        <f t="shared" si="14"/>
        <v>0</v>
      </c>
      <c r="Q43" s="139">
        <f t="shared" si="15"/>
        <v>0</v>
      </c>
      <c r="R43" s="134">
        <f t="shared" si="16"/>
        <v>0</v>
      </c>
      <c r="S43" s="134">
        <f t="shared" si="17"/>
        <v>0</v>
      </c>
      <c r="T43" s="134">
        <f t="shared" si="18"/>
        <v>0</v>
      </c>
      <c r="U43" s="137">
        <f t="shared" si="19"/>
        <v>0</v>
      </c>
      <c r="V43" s="140">
        <f t="shared" si="20"/>
        <v>0</v>
      </c>
      <c r="W43" s="119">
        <f t="shared" si="50"/>
        <v>0</v>
      </c>
      <c r="X43" s="69">
        <f t="shared" si="22"/>
        <v>0</v>
      </c>
      <c r="Y43" s="139">
        <f t="shared" si="23"/>
        <v>0</v>
      </c>
      <c r="Z43" s="137">
        <f t="shared" si="24"/>
        <v>0</v>
      </c>
      <c r="AA43" s="139">
        <f t="shared" si="25"/>
        <v>0</v>
      </c>
      <c r="AB43" s="137">
        <f t="shared" si="26"/>
        <v>0</v>
      </c>
      <c r="AC43" s="139">
        <f t="shared" si="27"/>
        <v>0</v>
      </c>
      <c r="AD43" s="137">
        <f t="shared" si="28"/>
        <v>0</v>
      </c>
      <c r="AE43" s="139">
        <f t="shared" si="29"/>
        <v>0</v>
      </c>
      <c r="AF43" s="137">
        <f t="shared" si="30"/>
        <v>0</v>
      </c>
      <c r="AG43" s="139">
        <f t="shared" si="31"/>
        <v>0</v>
      </c>
      <c r="AH43" s="137">
        <f t="shared" si="32"/>
        <v>0</v>
      </c>
      <c r="AI43" s="139">
        <f t="shared" si="33"/>
        <v>0</v>
      </c>
      <c r="AJ43" s="137">
        <f t="shared" si="34"/>
        <v>0</v>
      </c>
      <c r="AK43" s="139">
        <f t="shared" si="35"/>
        <v>0</v>
      </c>
      <c r="AL43" s="137">
        <f t="shared" si="36"/>
        <v>0</v>
      </c>
      <c r="AM43" s="139">
        <f t="shared" si="37"/>
        <v>0</v>
      </c>
      <c r="AN43" s="137">
        <f t="shared" si="38"/>
        <v>0</v>
      </c>
      <c r="AO43" s="139">
        <f t="shared" si="39"/>
        <v>0</v>
      </c>
      <c r="AP43" s="134">
        <f t="shared" si="40"/>
        <v>0</v>
      </c>
      <c r="AQ43" s="141">
        <f t="shared" si="41"/>
        <v>0</v>
      </c>
      <c r="AR43" s="137">
        <f t="shared" si="42"/>
        <v>0</v>
      </c>
      <c r="AS43" s="142">
        <f t="shared" si="46"/>
        <v>0</v>
      </c>
      <c r="AT43" s="142">
        <f t="shared" si="46"/>
        <v>0</v>
      </c>
      <c r="AU43" s="141">
        <f t="shared" si="43"/>
        <v>0</v>
      </c>
      <c r="AV43" s="141">
        <f t="shared" si="44"/>
        <v>0</v>
      </c>
      <c r="AW43" s="4" t="e">
        <f t="shared" si="47"/>
        <v>#NUM!</v>
      </c>
      <c r="AX43" s="4" t="e">
        <f t="shared" si="48"/>
        <v>#NUM!</v>
      </c>
      <c r="AY43" s="4" t="e">
        <f t="shared" si="49"/>
        <v>#NUM!</v>
      </c>
      <c r="AZ43" s="361">
        <f>IF(AR21&lt;=7,LOOKUP(AR21,Time_completion_user),AR21*LOOKUP(AR21,'Scaling Functions'!$G$125:$H$131))</f>
        <v>0</v>
      </c>
      <c r="BA43" s="14"/>
      <c r="BB43" s="14"/>
      <c r="BC43" s="14"/>
      <c r="BD43" s="14"/>
      <c r="BE43" s="14"/>
      <c r="BF43" s="14"/>
      <c r="BG43" s="14"/>
      <c r="BH43" s="14"/>
    </row>
    <row r="44" spans="1:60" ht="12.75">
      <c r="A44" s="112">
        <f t="shared" si="45"/>
      </c>
      <c r="B44" s="139">
        <f t="shared" si="0"/>
        <v>0</v>
      </c>
      <c r="C44" s="134">
        <f t="shared" si="1"/>
        <v>0</v>
      </c>
      <c r="D44" s="134">
        <f t="shared" si="2"/>
        <v>0</v>
      </c>
      <c r="E44" s="134">
        <f t="shared" si="3"/>
        <v>0</v>
      </c>
      <c r="F44" s="137">
        <f t="shared" si="4"/>
        <v>0</v>
      </c>
      <c r="G44" s="139">
        <f t="shared" si="5"/>
        <v>0</v>
      </c>
      <c r="H44" s="134">
        <f t="shared" si="6"/>
        <v>0</v>
      </c>
      <c r="I44" s="134">
        <f t="shared" si="7"/>
        <v>0</v>
      </c>
      <c r="J44" s="134">
        <f t="shared" si="8"/>
        <v>0</v>
      </c>
      <c r="K44" s="137">
        <f t="shared" si="9"/>
        <v>0</v>
      </c>
      <c r="L44" s="139">
        <f t="shared" si="10"/>
        <v>0</v>
      </c>
      <c r="M44" s="134">
        <f t="shared" si="11"/>
        <v>0</v>
      </c>
      <c r="N44" s="134">
        <f t="shared" si="12"/>
        <v>0</v>
      </c>
      <c r="O44" s="134">
        <f t="shared" si="13"/>
        <v>0</v>
      </c>
      <c r="P44" s="137">
        <f t="shared" si="14"/>
        <v>0</v>
      </c>
      <c r="Q44" s="139">
        <f t="shared" si="15"/>
        <v>0</v>
      </c>
      <c r="R44" s="134">
        <f t="shared" si="16"/>
        <v>0</v>
      </c>
      <c r="S44" s="134">
        <f t="shared" si="17"/>
        <v>0</v>
      </c>
      <c r="T44" s="134">
        <f t="shared" si="18"/>
        <v>0</v>
      </c>
      <c r="U44" s="137">
        <f t="shared" si="19"/>
        <v>0</v>
      </c>
      <c r="V44" s="140">
        <f t="shared" si="20"/>
        <v>0</v>
      </c>
      <c r="W44" s="119">
        <f t="shared" si="50"/>
        <v>0</v>
      </c>
      <c r="X44" s="69">
        <f t="shared" si="22"/>
        <v>0</v>
      </c>
      <c r="Y44" s="139">
        <f t="shared" si="23"/>
        <v>0</v>
      </c>
      <c r="Z44" s="137">
        <f t="shared" si="24"/>
        <v>0</v>
      </c>
      <c r="AA44" s="139">
        <f t="shared" si="25"/>
        <v>0</v>
      </c>
      <c r="AB44" s="137">
        <f t="shared" si="26"/>
        <v>0</v>
      </c>
      <c r="AC44" s="139">
        <f t="shared" si="27"/>
        <v>0</v>
      </c>
      <c r="AD44" s="137">
        <f t="shared" si="28"/>
        <v>0</v>
      </c>
      <c r="AE44" s="139">
        <f t="shared" si="29"/>
        <v>0</v>
      </c>
      <c r="AF44" s="137">
        <f t="shared" si="30"/>
        <v>0</v>
      </c>
      <c r="AG44" s="139">
        <f t="shared" si="31"/>
        <v>0</v>
      </c>
      <c r="AH44" s="137">
        <f t="shared" si="32"/>
        <v>0</v>
      </c>
      <c r="AI44" s="139">
        <f t="shared" si="33"/>
        <v>0</v>
      </c>
      <c r="AJ44" s="137">
        <f t="shared" si="34"/>
        <v>0</v>
      </c>
      <c r="AK44" s="139">
        <f t="shared" si="35"/>
        <v>0</v>
      </c>
      <c r="AL44" s="137">
        <f t="shared" si="36"/>
        <v>0</v>
      </c>
      <c r="AM44" s="139">
        <f t="shared" si="37"/>
        <v>0</v>
      </c>
      <c r="AN44" s="137">
        <f t="shared" si="38"/>
        <v>0</v>
      </c>
      <c r="AO44" s="139">
        <f t="shared" si="39"/>
        <v>0</v>
      </c>
      <c r="AP44" s="134">
        <f t="shared" si="40"/>
        <v>0</v>
      </c>
      <c r="AQ44" s="141">
        <f t="shared" si="41"/>
        <v>0</v>
      </c>
      <c r="AR44" s="137">
        <f t="shared" si="42"/>
        <v>0</v>
      </c>
      <c r="AS44" s="142">
        <f t="shared" si="46"/>
        <v>0</v>
      </c>
      <c r="AT44" s="142">
        <f t="shared" si="46"/>
        <v>0</v>
      </c>
      <c r="AU44" s="141">
        <f t="shared" si="43"/>
        <v>0</v>
      </c>
      <c r="AV44" s="141">
        <f t="shared" si="44"/>
        <v>0</v>
      </c>
      <c r="AW44" s="4" t="e">
        <f t="shared" si="47"/>
        <v>#NUM!</v>
      </c>
      <c r="AX44" s="4" t="e">
        <f t="shared" si="48"/>
        <v>#NUM!</v>
      </c>
      <c r="AY44" s="4" t="e">
        <f t="shared" si="49"/>
        <v>#NUM!</v>
      </c>
      <c r="AZ44" s="361">
        <f>IF(AR22&lt;=7,LOOKUP(AR22,Time_completion_user),AR22*LOOKUP(AR22,'Scaling Functions'!$G$125:$H$131))</f>
        <v>0</v>
      </c>
      <c r="BA44" s="14"/>
      <c r="BB44" s="14"/>
      <c r="BC44" s="14"/>
      <c r="BD44" s="14"/>
      <c r="BE44" s="14"/>
      <c r="BF44" s="14"/>
      <c r="BG44" s="14"/>
      <c r="BH44" s="14"/>
    </row>
    <row r="45" spans="1:60" ht="12.75">
      <c r="A45" s="112">
        <f t="shared" si="45"/>
      </c>
      <c r="B45" s="139">
        <f t="shared" si="0"/>
        <v>0</v>
      </c>
      <c r="C45" s="134">
        <f t="shared" si="1"/>
        <v>0</v>
      </c>
      <c r="D45" s="134">
        <f t="shared" si="2"/>
        <v>0</v>
      </c>
      <c r="E45" s="134">
        <f t="shared" si="3"/>
        <v>0</v>
      </c>
      <c r="F45" s="137">
        <f t="shared" si="4"/>
        <v>0</v>
      </c>
      <c r="G45" s="139">
        <f t="shared" si="5"/>
        <v>0</v>
      </c>
      <c r="H45" s="134">
        <f t="shared" si="6"/>
        <v>0</v>
      </c>
      <c r="I45" s="134">
        <f t="shared" si="7"/>
        <v>0</v>
      </c>
      <c r="J45" s="134">
        <f t="shared" si="8"/>
        <v>0</v>
      </c>
      <c r="K45" s="137">
        <f t="shared" si="9"/>
        <v>0</v>
      </c>
      <c r="L45" s="139">
        <f t="shared" si="10"/>
        <v>0</v>
      </c>
      <c r="M45" s="134">
        <f t="shared" si="11"/>
        <v>0</v>
      </c>
      <c r="N45" s="134">
        <f t="shared" si="12"/>
        <v>0</v>
      </c>
      <c r="O45" s="134">
        <f t="shared" si="13"/>
        <v>0</v>
      </c>
      <c r="P45" s="137">
        <f t="shared" si="14"/>
        <v>0</v>
      </c>
      <c r="Q45" s="139">
        <f t="shared" si="15"/>
        <v>0</v>
      </c>
      <c r="R45" s="134">
        <f t="shared" si="16"/>
        <v>0</v>
      </c>
      <c r="S45" s="134">
        <f t="shared" si="17"/>
        <v>0</v>
      </c>
      <c r="T45" s="134">
        <f t="shared" si="18"/>
        <v>0</v>
      </c>
      <c r="U45" s="137">
        <f t="shared" si="19"/>
        <v>0</v>
      </c>
      <c r="V45" s="140">
        <f t="shared" si="20"/>
        <v>0</v>
      </c>
      <c r="W45" s="119">
        <f t="shared" si="50"/>
        <v>0</v>
      </c>
      <c r="X45" s="69">
        <f t="shared" si="22"/>
        <v>0</v>
      </c>
      <c r="Y45" s="139">
        <f t="shared" si="23"/>
        <v>0</v>
      </c>
      <c r="Z45" s="137">
        <f t="shared" si="24"/>
        <v>0</v>
      </c>
      <c r="AA45" s="139">
        <f t="shared" si="25"/>
        <v>0</v>
      </c>
      <c r="AB45" s="137">
        <f t="shared" si="26"/>
        <v>0</v>
      </c>
      <c r="AC45" s="139">
        <f t="shared" si="27"/>
        <v>0</v>
      </c>
      <c r="AD45" s="137">
        <f t="shared" si="28"/>
        <v>0</v>
      </c>
      <c r="AE45" s="139">
        <f t="shared" si="29"/>
        <v>0</v>
      </c>
      <c r="AF45" s="137">
        <f t="shared" si="30"/>
        <v>0</v>
      </c>
      <c r="AG45" s="139">
        <f t="shared" si="31"/>
        <v>0</v>
      </c>
      <c r="AH45" s="137">
        <f t="shared" si="32"/>
        <v>0</v>
      </c>
      <c r="AI45" s="139">
        <f t="shared" si="33"/>
        <v>0</v>
      </c>
      <c r="AJ45" s="137">
        <f t="shared" si="34"/>
        <v>0</v>
      </c>
      <c r="AK45" s="139">
        <f t="shared" si="35"/>
        <v>0</v>
      </c>
      <c r="AL45" s="137">
        <f t="shared" si="36"/>
        <v>0</v>
      </c>
      <c r="AM45" s="139">
        <f t="shared" si="37"/>
        <v>0</v>
      </c>
      <c r="AN45" s="137">
        <f t="shared" si="38"/>
        <v>0</v>
      </c>
      <c r="AO45" s="139">
        <f t="shared" si="39"/>
        <v>0</v>
      </c>
      <c r="AP45" s="134">
        <f t="shared" si="40"/>
        <v>0</v>
      </c>
      <c r="AQ45" s="141">
        <f t="shared" si="41"/>
        <v>0</v>
      </c>
      <c r="AR45" s="137">
        <f t="shared" si="42"/>
        <v>0</v>
      </c>
      <c r="AS45" s="142">
        <f t="shared" si="46"/>
        <v>0</v>
      </c>
      <c r="AT45" s="142">
        <f t="shared" si="46"/>
        <v>0</v>
      </c>
      <c r="AU45" s="141">
        <f t="shared" si="43"/>
        <v>0</v>
      </c>
      <c r="AV45" s="141">
        <f t="shared" si="44"/>
        <v>0</v>
      </c>
      <c r="AW45" s="4" t="e">
        <f t="shared" si="47"/>
        <v>#NUM!</v>
      </c>
      <c r="AX45" s="4" t="e">
        <f t="shared" si="48"/>
        <v>#NUM!</v>
      </c>
      <c r="AY45" s="4" t="e">
        <f t="shared" si="49"/>
        <v>#NUM!</v>
      </c>
      <c r="AZ45" s="361">
        <f>IF(AR23&lt;=7,LOOKUP(AR23,Time_completion_user),AR23*LOOKUP(AR23,'Scaling Functions'!$G$125:$H$131))</f>
        <v>0</v>
      </c>
      <c r="BA45" s="14"/>
      <c r="BB45" s="14"/>
      <c r="BC45" s="14"/>
      <c r="BD45" s="14"/>
      <c r="BE45" s="14"/>
      <c r="BF45" s="14"/>
      <c r="BG45" s="14"/>
      <c r="BH45" s="14"/>
    </row>
    <row r="46" spans="1:60" ht="12.75">
      <c r="A46" s="112">
        <f t="shared" si="45"/>
      </c>
      <c r="B46" s="143">
        <f t="shared" si="0"/>
        <v>0</v>
      </c>
      <c r="C46" s="135">
        <f t="shared" si="1"/>
        <v>0</v>
      </c>
      <c r="D46" s="135">
        <f t="shared" si="2"/>
        <v>0</v>
      </c>
      <c r="E46" s="135">
        <f t="shared" si="3"/>
        <v>0</v>
      </c>
      <c r="F46" s="138">
        <f t="shared" si="4"/>
        <v>0</v>
      </c>
      <c r="G46" s="143">
        <f t="shared" si="5"/>
        <v>0</v>
      </c>
      <c r="H46" s="135">
        <f t="shared" si="6"/>
        <v>0</v>
      </c>
      <c r="I46" s="135">
        <f t="shared" si="7"/>
        <v>0</v>
      </c>
      <c r="J46" s="135">
        <f t="shared" si="8"/>
        <v>0</v>
      </c>
      <c r="K46" s="138">
        <f t="shared" si="9"/>
        <v>0</v>
      </c>
      <c r="L46" s="143">
        <f t="shared" si="10"/>
        <v>0</v>
      </c>
      <c r="M46" s="135">
        <f t="shared" si="11"/>
        <v>0</v>
      </c>
      <c r="N46" s="135">
        <f t="shared" si="12"/>
        <v>0</v>
      </c>
      <c r="O46" s="135">
        <f t="shared" si="13"/>
        <v>0</v>
      </c>
      <c r="P46" s="138">
        <f t="shared" si="14"/>
        <v>0</v>
      </c>
      <c r="Q46" s="143">
        <f t="shared" si="15"/>
        <v>0</v>
      </c>
      <c r="R46" s="135">
        <f t="shared" si="16"/>
        <v>0</v>
      </c>
      <c r="S46" s="135">
        <f t="shared" si="17"/>
        <v>0</v>
      </c>
      <c r="T46" s="135">
        <f t="shared" si="18"/>
        <v>0</v>
      </c>
      <c r="U46" s="138">
        <f t="shared" si="19"/>
        <v>0</v>
      </c>
      <c r="V46" s="144">
        <f t="shared" si="20"/>
        <v>0</v>
      </c>
      <c r="W46" s="120">
        <f t="shared" si="50"/>
        <v>0</v>
      </c>
      <c r="X46" s="69">
        <f t="shared" si="22"/>
        <v>0</v>
      </c>
      <c r="Y46" s="143">
        <f t="shared" si="23"/>
        <v>0</v>
      </c>
      <c r="Z46" s="138">
        <f t="shared" si="24"/>
        <v>0</v>
      </c>
      <c r="AA46" s="143">
        <f t="shared" si="25"/>
        <v>0</v>
      </c>
      <c r="AB46" s="138">
        <f t="shared" si="26"/>
        <v>0</v>
      </c>
      <c r="AC46" s="143">
        <f t="shared" si="27"/>
        <v>0</v>
      </c>
      <c r="AD46" s="138">
        <f t="shared" si="28"/>
        <v>0</v>
      </c>
      <c r="AE46" s="143">
        <f t="shared" si="29"/>
        <v>0</v>
      </c>
      <c r="AF46" s="138">
        <f t="shared" si="30"/>
        <v>0</v>
      </c>
      <c r="AG46" s="143">
        <f t="shared" si="31"/>
        <v>0</v>
      </c>
      <c r="AH46" s="138">
        <f t="shared" si="32"/>
        <v>0</v>
      </c>
      <c r="AI46" s="143">
        <f t="shared" si="33"/>
        <v>0</v>
      </c>
      <c r="AJ46" s="138">
        <f t="shared" si="34"/>
        <v>0</v>
      </c>
      <c r="AK46" s="143">
        <f t="shared" si="35"/>
        <v>0</v>
      </c>
      <c r="AL46" s="138">
        <f t="shared" si="36"/>
        <v>0</v>
      </c>
      <c r="AM46" s="143">
        <f t="shared" si="37"/>
        <v>0</v>
      </c>
      <c r="AN46" s="138">
        <f t="shared" si="38"/>
        <v>0</v>
      </c>
      <c r="AO46" s="143">
        <f t="shared" si="39"/>
        <v>0</v>
      </c>
      <c r="AP46" s="135">
        <f t="shared" si="40"/>
        <v>0</v>
      </c>
      <c r="AQ46" s="145">
        <f t="shared" si="41"/>
        <v>0</v>
      </c>
      <c r="AR46" s="138">
        <f t="shared" si="42"/>
        <v>0</v>
      </c>
      <c r="AS46" s="146">
        <f t="shared" si="46"/>
        <v>0</v>
      </c>
      <c r="AT46" s="146">
        <f t="shared" si="46"/>
        <v>0</v>
      </c>
      <c r="AU46" s="145">
        <f t="shared" si="43"/>
        <v>0</v>
      </c>
      <c r="AV46" s="145">
        <f t="shared" si="44"/>
        <v>0</v>
      </c>
      <c r="AW46" s="4" t="e">
        <f t="shared" si="47"/>
        <v>#NUM!</v>
      </c>
      <c r="AX46" s="4" t="e">
        <f t="shared" si="48"/>
        <v>#NUM!</v>
      </c>
      <c r="AY46" s="4" t="e">
        <f t="shared" si="49"/>
        <v>#NUM!</v>
      </c>
      <c r="AZ46" s="361">
        <f>IF(AR24&lt;=7,LOOKUP(AR24,Time_completion_user),AR24*LOOKUP(AR24,'Scaling Functions'!$G$125:$H$131))</f>
        <v>0</v>
      </c>
      <c r="BA46" s="14"/>
      <c r="BB46" s="14"/>
      <c r="BC46" s="14"/>
      <c r="BD46" s="14"/>
      <c r="BE46" s="14"/>
      <c r="BF46" s="14"/>
      <c r="BG46" s="14"/>
      <c r="BH46" s="14"/>
    </row>
    <row r="47" spans="1:56" s="255" customFormat="1" ht="12.75">
      <c r="A47" s="37" t="s">
        <v>276</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148">
        <v>0.2</v>
      </c>
      <c r="Z47" s="254"/>
      <c r="AA47" s="148">
        <v>0.5</v>
      </c>
      <c r="AB47" s="254"/>
      <c r="AC47" s="148">
        <v>0.5</v>
      </c>
      <c r="AD47" s="254"/>
      <c r="AE47" s="148">
        <v>0.5</v>
      </c>
      <c r="AF47" s="254"/>
      <c r="AG47" s="148">
        <v>1</v>
      </c>
      <c r="AH47" s="254"/>
      <c r="AI47" s="148">
        <v>0.8</v>
      </c>
      <c r="AJ47" s="254"/>
      <c r="AK47" s="148">
        <v>0.3</v>
      </c>
      <c r="AL47" s="254"/>
      <c r="AM47" s="148">
        <v>0.5</v>
      </c>
      <c r="AN47" s="254"/>
      <c r="AO47" s="148">
        <v>1</v>
      </c>
      <c r="AP47" s="254"/>
      <c r="AQ47" s="258"/>
      <c r="AR47" s="254"/>
      <c r="AS47" s="254"/>
      <c r="AT47" s="254"/>
      <c r="AU47" s="254"/>
      <c r="AV47" s="254"/>
      <c r="AW47" s="254"/>
      <c r="AX47" s="254"/>
      <c r="BD47" s="256"/>
    </row>
    <row r="48" spans="1:60" s="255" customFormat="1" ht="12.75">
      <c r="A48" s="196" t="s">
        <v>260</v>
      </c>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AQ48" s="201">
        <f>'User-specified env. res. values'!B8</f>
        <v>0.5</v>
      </c>
      <c r="AR48" s="254"/>
      <c r="AS48" s="201">
        <f>IF(AA47=1,'User-specified env. res. values'!B9,(IF(AA47=0.5,'User-specified env. res. values'!B10,(IF(AA47=0.1,'User-specified env. res. values'!B11,0)))))</f>
        <v>0.5</v>
      </c>
      <c r="AT48" s="254"/>
      <c r="AU48" s="201">
        <f>'User-specified env. res. values'!B12</f>
        <v>0.5</v>
      </c>
      <c r="AV48" s="254"/>
      <c r="AW48" s="201">
        <f>'User-specified env. res. values'!B13</f>
        <v>0.5</v>
      </c>
      <c r="AX48" s="254"/>
      <c r="AY48" s="201">
        <f>'User-specified env. res. values'!B14</f>
        <v>1</v>
      </c>
      <c r="AZ48" s="254"/>
      <c r="BA48" s="201">
        <f>'User-specified env. res. values'!B15</f>
        <v>0.8</v>
      </c>
      <c r="BB48" s="254"/>
      <c r="BC48" s="201">
        <f>'User-specified env. res. values'!B16</f>
        <v>0.3</v>
      </c>
      <c r="BD48" s="254"/>
      <c r="BE48" s="201">
        <f>'User-specified env. res. values'!B17</f>
        <v>0.5</v>
      </c>
      <c r="BF48" s="254"/>
      <c r="BG48" s="201">
        <f>'User-specified env. res. values'!B18</f>
        <v>0.1</v>
      </c>
      <c r="BH48" s="254"/>
    </row>
    <row r="49" spans="1:60" ht="12.75">
      <c r="A49" s="111" t="s">
        <v>186</v>
      </c>
      <c r="B49" s="466" t="s">
        <v>118</v>
      </c>
      <c r="C49" s="444"/>
      <c r="D49" s="463"/>
      <c r="E49" s="445" t="s">
        <v>277</v>
      </c>
      <c r="F49" s="446"/>
      <c r="G49" s="466" t="s">
        <v>119</v>
      </c>
      <c r="H49" s="444"/>
      <c r="I49" s="463"/>
      <c r="J49" s="445" t="s">
        <v>278</v>
      </c>
      <c r="K49" s="446"/>
      <c r="L49" s="466" t="s">
        <v>120</v>
      </c>
      <c r="M49" s="444"/>
      <c r="N49" s="463"/>
      <c r="O49" s="445" t="s">
        <v>279</v>
      </c>
      <c r="P49" s="446"/>
      <c r="Q49" s="466" t="s">
        <v>121</v>
      </c>
      <c r="R49" s="492"/>
      <c r="S49" s="492"/>
      <c r="T49" s="445" t="s">
        <v>280</v>
      </c>
      <c r="U49" s="446"/>
      <c r="V49" s="466"/>
      <c r="W49" s="444"/>
      <c r="X49" s="463"/>
      <c r="Y49" s="463" t="s">
        <v>173</v>
      </c>
      <c r="Z49" s="464"/>
      <c r="AA49" s="465" t="s">
        <v>259</v>
      </c>
      <c r="AB49" s="464"/>
      <c r="AC49" s="465" t="s">
        <v>174</v>
      </c>
      <c r="AD49" s="464"/>
      <c r="AE49" s="465" t="s">
        <v>175</v>
      </c>
      <c r="AF49" s="464"/>
      <c r="AG49" s="465" t="s">
        <v>177</v>
      </c>
      <c r="AH49" s="464"/>
      <c r="AI49" s="465" t="s">
        <v>178</v>
      </c>
      <c r="AJ49" s="464"/>
      <c r="AK49" s="465" t="s">
        <v>176</v>
      </c>
      <c r="AL49" s="464"/>
      <c r="AM49" s="465" t="s">
        <v>179</v>
      </c>
      <c r="AN49" s="464"/>
      <c r="AO49" s="465" t="s">
        <v>180</v>
      </c>
      <c r="AP49" s="443"/>
      <c r="AQ49" s="463" t="s">
        <v>173</v>
      </c>
      <c r="AR49" s="464"/>
      <c r="AS49" s="465" t="s">
        <v>274</v>
      </c>
      <c r="AT49" s="464"/>
      <c r="AU49" s="466" t="s">
        <v>174</v>
      </c>
      <c r="AV49" s="467"/>
      <c r="AW49" s="466" t="s">
        <v>175</v>
      </c>
      <c r="AX49" s="467"/>
      <c r="AY49" s="466" t="s">
        <v>177</v>
      </c>
      <c r="AZ49" s="467"/>
      <c r="BA49" s="466" t="s">
        <v>178</v>
      </c>
      <c r="BB49" s="467"/>
      <c r="BC49" s="466" t="s">
        <v>176</v>
      </c>
      <c r="BD49" s="467"/>
      <c r="BE49" s="466" t="s">
        <v>179</v>
      </c>
      <c r="BF49" s="467"/>
      <c r="BG49" s="466" t="s">
        <v>180</v>
      </c>
      <c r="BH49" s="492"/>
    </row>
    <row r="50" spans="1:60" ht="12.75">
      <c r="A50" s="112" t="str">
        <f>A27</f>
        <v>No action</v>
      </c>
      <c r="B50" s="477">
        <f>(B27*E27*F27*C27)*(1/(1+health_dr)^D27)</f>
        <v>0.0006418619473967177</v>
      </c>
      <c r="C50" s="442"/>
      <c r="D50" s="469"/>
      <c r="E50" s="461">
        <f aca="true" t="shared" si="51" ref="E50:E69">(B27*E27*F27*C27)*(1/(1+user_health_dr)^D27)</f>
        <v>0.0006418619473967177</v>
      </c>
      <c r="F50" s="462"/>
      <c r="G50" s="477">
        <f>(G27*J27*K27*H27)*(1/(1+health_dr)^I27)</f>
        <v>0</v>
      </c>
      <c r="H50" s="479"/>
      <c r="I50" s="460"/>
      <c r="J50" s="461">
        <f aca="true" t="shared" si="52" ref="J50:J69">(G27*J27*K27*H27)*(1/(1+user_health_dr)^I27)</f>
        <v>0</v>
      </c>
      <c r="K50" s="462"/>
      <c r="L50" s="477">
        <f>(L27*O27*P27*M27)*(1/(1+health_dr)^N27)</f>
        <v>0</v>
      </c>
      <c r="M50" s="479"/>
      <c r="N50" s="460"/>
      <c r="O50" s="461">
        <f aca="true" t="shared" si="53" ref="O50:O69">(L27*O27*P27*M27)*(1/(1+user_health_dr)^N27)</f>
        <v>0</v>
      </c>
      <c r="P50" s="462"/>
      <c r="Q50" s="477">
        <f>(Q27*T27*U27*R27)*(1/(1+health_dr)^S27)</f>
        <v>0</v>
      </c>
      <c r="R50" s="478"/>
      <c r="S50" s="478"/>
      <c r="T50" s="461">
        <f aca="true" t="shared" si="54" ref="T50:T69">(Q27*T27*U27*R27)*(1/(1+user_health_dr)^S27)</f>
        <v>0</v>
      </c>
      <c r="U50" s="462"/>
      <c r="V50" s="471"/>
      <c r="W50" s="472"/>
      <c r="X50" s="473"/>
      <c r="Y50" s="469">
        <f>$Y27*$Z27*Y$47</f>
        <v>0</v>
      </c>
      <c r="Z50" s="470"/>
      <c r="AA50" s="469">
        <f>$AA27*$AB27*AA$47</f>
        <v>11.875</v>
      </c>
      <c r="AB50" s="470"/>
      <c r="AC50" s="469">
        <f>$AC27*$AD27*AC$47</f>
        <v>0</v>
      </c>
      <c r="AD50" s="470"/>
      <c r="AE50" s="469">
        <f>$AE27*$AF27*AE$47</f>
        <v>0</v>
      </c>
      <c r="AF50" s="470"/>
      <c r="AG50" s="469">
        <f>$AG27*$AH27*AG$47</f>
        <v>0</v>
      </c>
      <c r="AH50" s="470"/>
      <c r="AI50" s="469">
        <f>$AI27*$AJ27*AI$47</f>
        <v>0</v>
      </c>
      <c r="AJ50" s="470"/>
      <c r="AK50" s="469">
        <f>$AK27*$AL27*AK$47</f>
        <v>0</v>
      </c>
      <c r="AL50" s="470"/>
      <c r="AM50" s="469">
        <f>$AM27*$AN27*AM$47</f>
        <v>0</v>
      </c>
      <c r="AN50" s="470"/>
      <c r="AO50" s="469">
        <f>$AO27*$AP27*AO$47</f>
        <v>0</v>
      </c>
      <c r="AP50" s="470"/>
      <c r="AQ50" s="462">
        <f>$Y27*$Z27*AQ$48</f>
        <v>0</v>
      </c>
      <c r="AR50" s="468"/>
      <c r="AS50" s="462">
        <f>$AA27*$AB27*AS$48</f>
        <v>11.875</v>
      </c>
      <c r="AT50" s="468"/>
      <c r="AU50" s="461">
        <f aca="true" t="shared" si="55" ref="AU50:AU69">$AC27*$AD27*AU$48</f>
        <v>0</v>
      </c>
      <c r="AV50" s="462"/>
      <c r="AW50" s="461">
        <f aca="true" t="shared" si="56" ref="AW50:AW69">$AE27*$AF27*AW$48</f>
        <v>0</v>
      </c>
      <c r="AX50" s="462"/>
      <c r="AY50" s="461">
        <f aca="true" t="shared" si="57" ref="AY50:AY69">$AG27*$AH27*AY$48</f>
        <v>0</v>
      </c>
      <c r="AZ50" s="462"/>
      <c r="BA50" s="461">
        <f aca="true" t="shared" si="58" ref="BA50:BA69">$AI27*$AJ27*BA$48</f>
        <v>0</v>
      </c>
      <c r="BB50" s="462"/>
      <c r="BC50" s="461">
        <f aca="true" t="shared" si="59" ref="BC50:BC69">$AK27*$AL27*BC$48</f>
        <v>0</v>
      </c>
      <c r="BD50" s="462"/>
      <c r="BE50" s="461">
        <f aca="true" t="shared" si="60" ref="BE50:BE69">$AM27*$AN27*BE$48</f>
        <v>0</v>
      </c>
      <c r="BF50" s="462"/>
      <c r="BG50" s="461">
        <f aca="true" t="shared" si="61" ref="BG50:BG69">$AO27*$AP27*BG$48</f>
        <v>0</v>
      </c>
      <c r="BH50" s="462"/>
    </row>
    <row r="51" spans="1:60" ht="12.75">
      <c r="A51" s="112" t="str">
        <f aca="true" t="shared" si="62" ref="A51:A69">A28</f>
        <v>MNA in MAAZ &amp; LLAZ</v>
      </c>
      <c r="B51" s="477">
        <f>(B28*E28*F28*C28)*(1/(1+health_dr)^D28)</f>
        <v>1.2837238947934353E-09</v>
      </c>
      <c r="C51" s="442"/>
      <c r="D51" s="469"/>
      <c r="E51" s="461">
        <f t="shared" si="51"/>
        <v>1.2837238947934353E-09</v>
      </c>
      <c r="F51" s="462"/>
      <c r="G51" s="477">
        <f aca="true" t="shared" si="63" ref="G51:G69">(G28*J28*K28*H28)*(1/(1+health_dr)^I28)</f>
        <v>0</v>
      </c>
      <c r="H51" s="479"/>
      <c r="I51" s="460"/>
      <c r="J51" s="461">
        <f t="shared" si="52"/>
        <v>0</v>
      </c>
      <c r="K51" s="462"/>
      <c r="L51" s="477">
        <f aca="true" t="shared" si="64" ref="L51:L69">(L28*O28*P28*M28)*(1/(1+health_dr)^N28)</f>
        <v>0</v>
      </c>
      <c r="M51" s="479"/>
      <c r="N51" s="460"/>
      <c r="O51" s="461">
        <f t="shared" si="53"/>
        <v>0</v>
      </c>
      <c r="P51" s="462"/>
      <c r="Q51" s="477">
        <f aca="true" t="shared" si="65" ref="Q51:Q69">(Q28*T28*U28*R28)*(1/(1+health_dr)^S28)</f>
        <v>0</v>
      </c>
      <c r="R51" s="478"/>
      <c r="S51" s="478"/>
      <c r="T51" s="461">
        <f t="shared" si="54"/>
        <v>0</v>
      </c>
      <c r="U51" s="462"/>
      <c r="V51" s="471"/>
      <c r="W51" s="472"/>
      <c r="X51" s="473"/>
      <c r="Y51" s="469">
        <f aca="true" t="shared" si="66" ref="Y51:Y69">$Y28*$Z28*Y$47</f>
        <v>0</v>
      </c>
      <c r="Z51" s="470"/>
      <c r="AA51" s="469">
        <f aca="true" t="shared" si="67" ref="AA51:AA69">$AA28*$AB28*AA$47</f>
        <v>11.875</v>
      </c>
      <c r="AB51" s="470"/>
      <c r="AC51" s="469">
        <f aca="true" t="shared" si="68" ref="AC51:AC69">$AC28*$AD28*AC$47</f>
        <v>0</v>
      </c>
      <c r="AD51" s="470"/>
      <c r="AE51" s="469">
        <f aca="true" t="shared" si="69" ref="AE51:AE69">$AE28*$AF28*AE$47</f>
        <v>0</v>
      </c>
      <c r="AF51" s="470"/>
      <c r="AG51" s="469">
        <f aca="true" t="shared" si="70" ref="AG51:AG69">$AG28*$AH28*AG$47</f>
        <v>0</v>
      </c>
      <c r="AH51" s="470"/>
      <c r="AI51" s="469">
        <f aca="true" t="shared" si="71" ref="AI51:AI69">$AI28*$AJ28*AI$47</f>
        <v>0</v>
      </c>
      <c r="AJ51" s="470"/>
      <c r="AK51" s="469">
        <f aca="true" t="shared" si="72" ref="AK51:AK69">$AK28*$AL28*AK$47</f>
        <v>0</v>
      </c>
      <c r="AL51" s="470"/>
      <c r="AM51" s="469">
        <f aca="true" t="shared" si="73" ref="AM51:AM69">$AM28*$AN28*AM$47</f>
        <v>0</v>
      </c>
      <c r="AN51" s="470"/>
      <c r="AO51" s="469">
        <f aca="true" t="shared" si="74" ref="AO51:AO69">$AO28*$AP28*AO$47</f>
        <v>0</v>
      </c>
      <c r="AP51" s="470"/>
      <c r="AQ51" s="462">
        <f aca="true" t="shared" si="75" ref="AQ51:AQ69">$Y28*$Z28*AQ$48</f>
        <v>0</v>
      </c>
      <c r="AR51" s="468"/>
      <c r="AS51" s="462">
        <f aca="true" t="shared" si="76" ref="AS51:AS69">$AA28*$AB28*AS$48</f>
        <v>11.875</v>
      </c>
      <c r="AT51" s="468"/>
      <c r="AU51" s="461">
        <f t="shared" si="55"/>
        <v>0</v>
      </c>
      <c r="AV51" s="462"/>
      <c r="AW51" s="461">
        <f t="shared" si="56"/>
        <v>0</v>
      </c>
      <c r="AX51" s="462"/>
      <c r="AY51" s="461">
        <f t="shared" si="57"/>
        <v>0</v>
      </c>
      <c r="AZ51" s="462"/>
      <c r="BA51" s="461">
        <f t="shared" si="58"/>
        <v>0</v>
      </c>
      <c r="BB51" s="462"/>
      <c r="BC51" s="461">
        <f t="shared" si="59"/>
        <v>0</v>
      </c>
      <c r="BD51" s="462"/>
      <c r="BE51" s="461">
        <f t="shared" si="60"/>
        <v>0</v>
      </c>
      <c r="BF51" s="462"/>
      <c r="BG51" s="461">
        <f t="shared" si="61"/>
        <v>0</v>
      </c>
      <c r="BH51" s="462"/>
    </row>
    <row r="52" spans="1:60" ht="12.75">
      <c r="A52" s="112" t="str">
        <f t="shared" si="62"/>
        <v>Operate existing gw recirc wells to 50 ug/L; MNA in residual</v>
      </c>
      <c r="B52" s="477">
        <f>(B29*E29*F29*C29)*(1/(1+health_dr)^D29)</f>
        <v>1.2837238947934353E-09</v>
      </c>
      <c r="C52" s="442"/>
      <c r="D52" s="469"/>
      <c r="E52" s="461">
        <f t="shared" si="51"/>
        <v>1.2837238947934353E-09</v>
      </c>
      <c r="F52" s="462"/>
      <c r="G52" s="477">
        <f t="shared" si="63"/>
        <v>0</v>
      </c>
      <c r="H52" s="479"/>
      <c r="I52" s="460"/>
      <c r="J52" s="461">
        <f t="shared" si="52"/>
        <v>0</v>
      </c>
      <c r="K52" s="462"/>
      <c r="L52" s="477">
        <f t="shared" si="64"/>
        <v>0</v>
      </c>
      <c r="M52" s="479"/>
      <c r="N52" s="460"/>
      <c r="O52" s="461">
        <f t="shared" si="53"/>
        <v>0</v>
      </c>
      <c r="P52" s="462"/>
      <c r="Q52" s="477">
        <f t="shared" si="65"/>
        <v>0</v>
      </c>
      <c r="R52" s="478"/>
      <c r="S52" s="478"/>
      <c r="T52" s="461">
        <f t="shared" si="54"/>
        <v>0</v>
      </c>
      <c r="U52" s="462"/>
      <c r="V52" s="471"/>
      <c r="W52" s="472"/>
      <c r="X52" s="473"/>
      <c r="Y52" s="469">
        <f t="shared" si="66"/>
        <v>0</v>
      </c>
      <c r="Z52" s="470"/>
      <c r="AA52" s="469">
        <f t="shared" si="67"/>
        <v>5.9375</v>
      </c>
      <c r="AB52" s="470"/>
      <c r="AC52" s="469">
        <f t="shared" si="68"/>
        <v>0</v>
      </c>
      <c r="AD52" s="470"/>
      <c r="AE52" s="469">
        <f t="shared" si="69"/>
        <v>0</v>
      </c>
      <c r="AF52" s="470"/>
      <c r="AG52" s="469">
        <f t="shared" si="70"/>
        <v>0</v>
      </c>
      <c r="AH52" s="470"/>
      <c r="AI52" s="469">
        <f t="shared" si="71"/>
        <v>0</v>
      </c>
      <c r="AJ52" s="470"/>
      <c r="AK52" s="469">
        <f t="shared" si="72"/>
        <v>0</v>
      </c>
      <c r="AL52" s="470"/>
      <c r="AM52" s="469">
        <f t="shared" si="73"/>
        <v>0</v>
      </c>
      <c r="AN52" s="470"/>
      <c r="AO52" s="469">
        <f t="shared" si="74"/>
        <v>0</v>
      </c>
      <c r="AP52" s="470"/>
      <c r="AQ52" s="462">
        <f t="shared" si="75"/>
        <v>0</v>
      </c>
      <c r="AR52" s="468"/>
      <c r="AS52" s="462">
        <f t="shared" si="76"/>
        <v>5.9375</v>
      </c>
      <c r="AT52" s="468"/>
      <c r="AU52" s="461">
        <f t="shared" si="55"/>
        <v>0</v>
      </c>
      <c r="AV52" s="462"/>
      <c r="AW52" s="461">
        <f t="shared" si="56"/>
        <v>0</v>
      </c>
      <c r="AX52" s="462"/>
      <c r="AY52" s="461">
        <f t="shared" si="57"/>
        <v>0</v>
      </c>
      <c r="AZ52" s="462"/>
      <c r="BA52" s="461">
        <f t="shared" si="58"/>
        <v>0</v>
      </c>
      <c r="BB52" s="462"/>
      <c r="BC52" s="461">
        <f t="shared" si="59"/>
        <v>0</v>
      </c>
      <c r="BD52" s="462"/>
      <c r="BE52" s="461">
        <f t="shared" si="60"/>
        <v>0</v>
      </c>
      <c r="BF52" s="462"/>
      <c r="BG52" s="461">
        <f t="shared" si="61"/>
        <v>0</v>
      </c>
      <c r="BH52" s="462"/>
    </row>
    <row r="53" spans="1:60" ht="12.75">
      <c r="A53" s="112" t="str">
        <f t="shared" si="62"/>
        <v>GW recirc in LLAZ to 50 ug/L; MNA in MAAZ</v>
      </c>
      <c r="B53" s="477">
        <f aca="true" t="shared" si="77" ref="B53:B69">(B30*E30*F30*C30)*(1/(1+health_dr)^D30)</f>
        <v>1.2837238947934353E-10</v>
      </c>
      <c r="C53" s="442"/>
      <c r="D53" s="469"/>
      <c r="E53" s="461">
        <f t="shared" si="51"/>
        <v>1.2837238947934353E-10</v>
      </c>
      <c r="F53" s="462"/>
      <c r="G53" s="477">
        <f t="shared" si="63"/>
        <v>0</v>
      </c>
      <c r="H53" s="479"/>
      <c r="I53" s="460"/>
      <c r="J53" s="461">
        <f t="shared" si="52"/>
        <v>0</v>
      </c>
      <c r="K53" s="462"/>
      <c r="L53" s="477">
        <f t="shared" si="64"/>
        <v>0</v>
      </c>
      <c r="M53" s="479"/>
      <c r="N53" s="460"/>
      <c r="O53" s="461">
        <f t="shared" si="53"/>
        <v>0</v>
      </c>
      <c r="P53" s="462"/>
      <c r="Q53" s="477">
        <f t="shared" si="65"/>
        <v>0</v>
      </c>
      <c r="R53" s="478"/>
      <c r="S53" s="478"/>
      <c r="T53" s="461">
        <f t="shared" si="54"/>
        <v>0</v>
      </c>
      <c r="U53" s="462"/>
      <c r="V53" s="471"/>
      <c r="W53" s="472"/>
      <c r="X53" s="473"/>
      <c r="Y53" s="469">
        <f t="shared" si="66"/>
        <v>0</v>
      </c>
      <c r="Z53" s="470"/>
      <c r="AA53" s="469">
        <f t="shared" si="67"/>
        <v>5.9375</v>
      </c>
      <c r="AB53" s="470"/>
      <c r="AC53" s="469">
        <f t="shared" si="68"/>
        <v>0</v>
      </c>
      <c r="AD53" s="470"/>
      <c r="AE53" s="469">
        <f t="shared" si="69"/>
        <v>0</v>
      </c>
      <c r="AF53" s="470"/>
      <c r="AG53" s="469">
        <f t="shared" si="70"/>
        <v>0</v>
      </c>
      <c r="AH53" s="470"/>
      <c r="AI53" s="469">
        <f t="shared" si="71"/>
        <v>0</v>
      </c>
      <c r="AJ53" s="470"/>
      <c r="AK53" s="469">
        <f t="shared" si="72"/>
        <v>0</v>
      </c>
      <c r="AL53" s="470"/>
      <c r="AM53" s="469">
        <f t="shared" si="73"/>
        <v>0</v>
      </c>
      <c r="AN53" s="470"/>
      <c r="AO53" s="469">
        <f t="shared" si="74"/>
        <v>0</v>
      </c>
      <c r="AP53" s="470"/>
      <c r="AQ53" s="462">
        <f t="shared" si="75"/>
        <v>0</v>
      </c>
      <c r="AR53" s="468"/>
      <c r="AS53" s="462">
        <f t="shared" si="76"/>
        <v>5.9375</v>
      </c>
      <c r="AT53" s="468"/>
      <c r="AU53" s="461">
        <f t="shared" si="55"/>
        <v>0</v>
      </c>
      <c r="AV53" s="462"/>
      <c r="AW53" s="461">
        <f t="shared" si="56"/>
        <v>0</v>
      </c>
      <c r="AX53" s="462"/>
      <c r="AY53" s="461">
        <f t="shared" si="57"/>
        <v>0</v>
      </c>
      <c r="AZ53" s="462"/>
      <c r="BA53" s="461">
        <f t="shared" si="58"/>
        <v>0</v>
      </c>
      <c r="BB53" s="462"/>
      <c r="BC53" s="461">
        <f t="shared" si="59"/>
        <v>0</v>
      </c>
      <c r="BD53" s="462"/>
      <c r="BE53" s="461">
        <f t="shared" si="60"/>
        <v>0</v>
      </c>
      <c r="BF53" s="462"/>
      <c r="BG53" s="461">
        <f t="shared" si="61"/>
        <v>0</v>
      </c>
      <c r="BH53" s="462"/>
    </row>
    <row r="54" spans="1:60" ht="12.75">
      <c r="A54" s="112" t="str">
        <f t="shared" si="62"/>
        <v>ChemOx in LLAZ to 50 ug/L; MNA in MAAZ</v>
      </c>
      <c r="B54" s="477">
        <f t="shared" si="77"/>
        <v>1.2837238947934353E-10</v>
      </c>
      <c r="C54" s="442"/>
      <c r="D54" s="469"/>
      <c r="E54" s="461">
        <f t="shared" si="51"/>
        <v>1.2837238947934353E-10</v>
      </c>
      <c r="F54" s="462"/>
      <c r="G54" s="477">
        <f t="shared" si="63"/>
        <v>0</v>
      </c>
      <c r="H54" s="479"/>
      <c r="I54" s="460"/>
      <c r="J54" s="461">
        <f t="shared" si="52"/>
        <v>0</v>
      </c>
      <c r="K54" s="462"/>
      <c r="L54" s="477">
        <f t="shared" si="64"/>
        <v>0</v>
      </c>
      <c r="M54" s="479"/>
      <c r="N54" s="460"/>
      <c r="O54" s="461">
        <f t="shared" si="53"/>
        <v>0</v>
      </c>
      <c r="P54" s="462"/>
      <c r="Q54" s="477">
        <f t="shared" si="65"/>
        <v>0</v>
      </c>
      <c r="R54" s="478"/>
      <c r="S54" s="478"/>
      <c r="T54" s="461">
        <f t="shared" si="54"/>
        <v>0</v>
      </c>
      <c r="U54" s="462"/>
      <c r="V54" s="471"/>
      <c r="W54" s="472"/>
      <c r="X54" s="473"/>
      <c r="Y54" s="469">
        <f t="shared" si="66"/>
        <v>0</v>
      </c>
      <c r="Z54" s="470"/>
      <c r="AA54" s="469">
        <f t="shared" si="67"/>
        <v>5.9375</v>
      </c>
      <c r="AB54" s="470"/>
      <c r="AC54" s="469">
        <f t="shared" si="68"/>
        <v>0</v>
      </c>
      <c r="AD54" s="470"/>
      <c r="AE54" s="469">
        <f t="shared" si="69"/>
        <v>0</v>
      </c>
      <c r="AF54" s="470"/>
      <c r="AG54" s="469">
        <f t="shared" si="70"/>
        <v>0</v>
      </c>
      <c r="AH54" s="470"/>
      <c r="AI54" s="469">
        <f t="shared" si="71"/>
        <v>0</v>
      </c>
      <c r="AJ54" s="470"/>
      <c r="AK54" s="469">
        <f t="shared" si="72"/>
        <v>0</v>
      </c>
      <c r="AL54" s="470"/>
      <c r="AM54" s="469">
        <f t="shared" si="73"/>
        <v>0</v>
      </c>
      <c r="AN54" s="470"/>
      <c r="AO54" s="469">
        <f t="shared" si="74"/>
        <v>0</v>
      </c>
      <c r="AP54" s="470"/>
      <c r="AQ54" s="462">
        <f t="shared" si="75"/>
        <v>0</v>
      </c>
      <c r="AR54" s="468"/>
      <c r="AS54" s="462">
        <f t="shared" si="76"/>
        <v>5.9375</v>
      </c>
      <c r="AT54" s="468"/>
      <c r="AU54" s="461">
        <f t="shared" si="55"/>
        <v>0</v>
      </c>
      <c r="AV54" s="462"/>
      <c r="AW54" s="461">
        <f t="shared" si="56"/>
        <v>0</v>
      </c>
      <c r="AX54" s="462"/>
      <c r="AY54" s="461">
        <f t="shared" si="57"/>
        <v>0</v>
      </c>
      <c r="AZ54" s="462"/>
      <c r="BA54" s="461">
        <f t="shared" si="58"/>
        <v>0</v>
      </c>
      <c r="BB54" s="462"/>
      <c r="BC54" s="461">
        <f t="shared" si="59"/>
        <v>0</v>
      </c>
      <c r="BD54" s="462"/>
      <c r="BE54" s="461">
        <f t="shared" si="60"/>
        <v>0</v>
      </c>
      <c r="BF54" s="462"/>
      <c r="BG54" s="461">
        <f t="shared" si="61"/>
        <v>0</v>
      </c>
      <c r="BH54" s="462"/>
    </row>
    <row r="55" spans="1:60" ht="12.75">
      <c r="A55" s="112" t="str">
        <f t="shared" si="62"/>
        <v>PRB in LLAZ to 50 ug/L; MNA in MAAZ</v>
      </c>
      <c r="B55" s="477">
        <f t="shared" si="77"/>
        <v>1.2837238947934353E-10</v>
      </c>
      <c r="C55" s="442"/>
      <c r="D55" s="469"/>
      <c r="E55" s="461">
        <f t="shared" si="51"/>
        <v>1.2837238947934353E-10</v>
      </c>
      <c r="F55" s="462"/>
      <c r="G55" s="477">
        <f t="shared" si="63"/>
        <v>0</v>
      </c>
      <c r="H55" s="479"/>
      <c r="I55" s="460"/>
      <c r="J55" s="461">
        <f t="shared" si="52"/>
        <v>0</v>
      </c>
      <c r="K55" s="462"/>
      <c r="L55" s="477">
        <f t="shared" si="64"/>
        <v>0</v>
      </c>
      <c r="M55" s="479"/>
      <c r="N55" s="460"/>
      <c r="O55" s="461">
        <f t="shared" si="53"/>
        <v>0</v>
      </c>
      <c r="P55" s="462"/>
      <c r="Q55" s="477">
        <f t="shared" si="65"/>
        <v>0</v>
      </c>
      <c r="R55" s="478"/>
      <c r="S55" s="478"/>
      <c r="T55" s="461">
        <f t="shared" si="54"/>
        <v>0</v>
      </c>
      <c r="U55" s="462"/>
      <c r="V55" s="471"/>
      <c r="W55" s="472"/>
      <c r="X55" s="473"/>
      <c r="Y55" s="469">
        <f t="shared" si="66"/>
        <v>0</v>
      </c>
      <c r="Z55" s="470"/>
      <c r="AA55" s="469">
        <f t="shared" si="67"/>
        <v>5.9375</v>
      </c>
      <c r="AB55" s="470"/>
      <c r="AC55" s="469">
        <f t="shared" si="68"/>
        <v>0</v>
      </c>
      <c r="AD55" s="470"/>
      <c r="AE55" s="469">
        <f t="shared" si="69"/>
        <v>0</v>
      </c>
      <c r="AF55" s="470"/>
      <c r="AG55" s="469">
        <f t="shared" si="70"/>
        <v>0</v>
      </c>
      <c r="AH55" s="470"/>
      <c r="AI55" s="469">
        <f t="shared" si="71"/>
        <v>0</v>
      </c>
      <c r="AJ55" s="470"/>
      <c r="AK55" s="469">
        <f t="shared" si="72"/>
        <v>0</v>
      </c>
      <c r="AL55" s="470"/>
      <c r="AM55" s="469">
        <f t="shared" si="73"/>
        <v>0</v>
      </c>
      <c r="AN55" s="470"/>
      <c r="AO55" s="469">
        <f t="shared" si="74"/>
        <v>0</v>
      </c>
      <c r="AP55" s="470"/>
      <c r="AQ55" s="462">
        <f t="shared" si="75"/>
        <v>0</v>
      </c>
      <c r="AR55" s="468"/>
      <c r="AS55" s="462">
        <f t="shared" si="76"/>
        <v>5.9375</v>
      </c>
      <c r="AT55" s="468"/>
      <c r="AU55" s="461">
        <f t="shared" si="55"/>
        <v>0</v>
      </c>
      <c r="AV55" s="462"/>
      <c r="AW55" s="461">
        <f t="shared" si="56"/>
        <v>0</v>
      </c>
      <c r="AX55" s="462"/>
      <c r="AY55" s="461">
        <f t="shared" si="57"/>
        <v>0</v>
      </c>
      <c r="AZ55" s="462"/>
      <c r="BA55" s="461">
        <f t="shared" si="58"/>
        <v>0</v>
      </c>
      <c r="BB55" s="462"/>
      <c r="BC55" s="461">
        <f t="shared" si="59"/>
        <v>0</v>
      </c>
      <c r="BD55" s="462"/>
      <c r="BE55" s="461">
        <f t="shared" si="60"/>
        <v>0</v>
      </c>
      <c r="BF55" s="462"/>
      <c r="BG55" s="461">
        <f t="shared" si="61"/>
        <v>0</v>
      </c>
      <c r="BH55" s="462"/>
    </row>
    <row r="56" spans="1:60" ht="12.75">
      <c r="A56" s="112" t="str">
        <f t="shared" si="62"/>
        <v>GW recirc in LLAZ &amp; MAAZ to 50 ug/L</v>
      </c>
      <c r="B56" s="477">
        <f t="shared" si="77"/>
        <v>1.2837238947934353E-10</v>
      </c>
      <c r="C56" s="442"/>
      <c r="D56" s="469"/>
      <c r="E56" s="461">
        <f t="shared" si="51"/>
        <v>1.2837238947934353E-10</v>
      </c>
      <c r="F56" s="462"/>
      <c r="G56" s="477">
        <f t="shared" si="63"/>
        <v>0</v>
      </c>
      <c r="H56" s="479"/>
      <c r="I56" s="460"/>
      <c r="J56" s="461">
        <f t="shared" si="52"/>
        <v>0</v>
      </c>
      <c r="K56" s="462"/>
      <c r="L56" s="477">
        <f t="shared" si="64"/>
        <v>0</v>
      </c>
      <c r="M56" s="479"/>
      <c r="N56" s="460"/>
      <c r="O56" s="461">
        <f t="shared" si="53"/>
        <v>0</v>
      </c>
      <c r="P56" s="462"/>
      <c r="Q56" s="477">
        <f t="shared" si="65"/>
        <v>0</v>
      </c>
      <c r="R56" s="478"/>
      <c r="S56" s="478"/>
      <c r="T56" s="461">
        <f t="shared" si="54"/>
        <v>0</v>
      </c>
      <c r="U56" s="462"/>
      <c r="V56" s="471"/>
      <c r="W56" s="472"/>
      <c r="X56" s="473"/>
      <c r="Y56" s="469">
        <f t="shared" si="66"/>
        <v>0</v>
      </c>
      <c r="Z56" s="470"/>
      <c r="AA56" s="469">
        <f t="shared" si="67"/>
        <v>5.9375</v>
      </c>
      <c r="AB56" s="470"/>
      <c r="AC56" s="469">
        <f t="shared" si="68"/>
        <v>0</v>
      </c>
      <c r="AD56" s="470"/>
      <c r="AE56" s="469">
        <f t="shared" si="69"/>
        <v>0</v>
      </c>
      <c r="AF56" s="470"/>
      <c r="AG56" s="469">
        <f t="shared" si="70"/>
        <v>0</v>
      </c>
      <c r="AH56" s="470"/>
      <c r="AI56" s="469">
        <f t="shared" si="71"/>
        <v>0</v>
      </c>
      <c r="AJ56" s="470"/>
      <c r="AK56" s="469">
        <f t="shared" si="72"/>
        <v>0</v>
      </c>
      <c r="AL56" s="470"/>
      <c r="AM56" s="469">
        <f t="shared" si="73"/>
        <v>0</v>
      </c>
      <c r="AN56" s="470"/>
      <c r="AO56" s="469">
        <f t="shared" si="74"/>
        <v>0</v>
      </c>
      <c r="AP56" s="470"/>
      <c r="AQ56" s="462">
        <f t="shared" si="75"/>
        <v>0</v>
      </c>
      <c r="AR56" s="468"/>
      <c r="AS56" s="462">
        <f t="shared" si="76"/>
        <v>5.9375</v>
      </c>
      <c r="AT56" s="468"/>
      <c r="AU56" s="461">
        <f t="shared" si="55"/>
        <v>0</v>
      </c>
      <c r="AV56" s="462"/>
      <c r="AW56" s="461">
        <f t="shared" si="56"/>
        <v>0</v>
      </c>
      <c r="AX56" s="462"/>
      <c r="AY56" s="461">
        <f t="shared" si="57"/>
        <v>0</v>
      </c>
      <c r="AZ56" s="462"/>
      <c r="BA56" s="461">
        <f t="shared" si="58"/>
        <v>0</v>
      </c>
      <c r="BB56" s="462"/>
      <c r="BC56" s="461">
        <f t="shared" si="59"/>
        <v>0</v>
      </c>
      <c r="BD56" s="462"/>
      <c r="BE56" s="461">
        <f t="shared" si="60"/>
        <v>0</v>
      </c>
      <c r="BF56" s="462"/>
      <c r="BG56" s="461">
        <f t="shared" si="61"/>
        <v>0</v>
      </c>
      <c r="BH56" s="462"/>
    </row>
    <row r="57" spans="1:60" ht="12.75">
      <c r="A57" s="112" t="str">
        <f t="shared" si="62"/>
        <v>ChemOx in LLAZ to 50 ug/L; GW recirc in MAAZ to 50 ug/L</v>
      </c>
      <c r="B57" s="477">
        <f t="shared" si="77"/>
        <v>1.2837238947934353E-10</v>
      </c>
      <c r="C57" s="442"/>
      <c r="D57" s="469"/>
      <c r="E57" s="461">
        <f t="shared" si="51"/>
        <v>1.2837238947934353E-10</v>
      </c>
      <c r="F57" s="462"/>
      <c r="G57" s="477">
        <f t="shared" si="63"/>
        <v>0</v>
      </c>
      <c r="H57" s="479"/>
      <c r="I57" s="460"/>
      <c r="J57" s="461">
        <f t="shared" si="52"/>
        <v>0</v>
      </c>
      <c r="K57" s="462"/>
      <c r="L57" s="477">
        <f t="shared" si="64"/>
        <v>0</v>
      </c>
      <c r="M57" s="479"/>
      <c r="N57" s="460"/>
      <c r="O57" s="461">
        <f t="shared" si="53"/>
        <v>0</v>
      </c>
      <c r="P57" s="462"/>
      <c r="Q57" s="477">
        <f t="shared" si="65"/>
        <v>0</v>
      </c>
      <c r="R57" s="478"/>
      <c r="S57" s="478"/>
      <c r="T57" s="461">
        <f t="shared" si="54"/>
        <v>0</v>
      </c>
      <c r="U57" s="462"/>
      <c r="V57" s="471"/>
      <c r="W57" s="472"/>
      <c r="X57" s="473"/>
      <c r="Y57" s="469">
        <f t="shared" si="66"/>
        <v>0</v>
      </c>
      <c r="Z57" s="470"/>
      <c r="AA57" s="469">
        <f t="shared" si="67"/>
        <v>5.9375</v>
      </c>
      <c r="AB57" s="470"/>
      <c r="AC57" s="469">
        <f t="shared" si="68"/>
        <v>0</v>
      </c>
      <c r="AD57" s="470"/>
      <c r="AE57" s="469">
        <f t="shared" si="69"/>
        <v>0</v>
      </c>
      <c r="AF57" s="470"/>
      <c r="AG57" s="469">
        <f t="shared" si="70"/>
        <v>0</v>
      </c>
      <c r="AH57" s="470"/>
      <c r="AI57" s="469">
        <f t="shared" si="71"/>
        <v>0</v>
      </c>
      <c r="AJ57" s="470"/>
      <c r="AK57" s="469">
        <f t="shared" si="72"/>
        <v>0</v>
      </c>
      <c r="AL57" s="470"/>
      <c r="AM57" s="469">
        <f t="shared" si="73"/>
        <v>0</v>
      </c>
      <c r="AN57" s="470"/>
      <c r="AO57" s="469">
        <f t="shared" si="74"/>
        <v>0</v>
      </c>
      <c r="AP57" s="470"/>
      <c r="AQ57" s="462">
        <f t="shared" si="75"/>
        <v>0</v>
      </c>
      <c r="AR57" s="468"/>
      <c r="AS57" s="462">
        <f t="shared" si="76"/>
        <v>5.9375</v>
      </c>
      <c r="AT57" s="468"/>
      <c r="AU57" s="461">
        <f t="shared" si="55"/>
        <v>0</v>
      </c>
      <c r="AV57" s="462"/>
      <c r="AW57" s="461">
        <f t="shared" si="56"/>
        <v>0</v>
      </c>
      <c r="AX57" s="462"/>
      <c r="AY57" s="461">
        <f t="shared" si="57"/>
        <v>0</v>
      </c>
      <c r="AZ57" s="462"/>
      <c r="BA57" s="461">
        <f t="shared" si="58"/>
        <v>0</v>
      </c>
      <c r="BB57" s="462"/>
      <c r="BC57" s="461">
        <f t="shared" si="59"/>
        <v>0</v>
      </c>
      <c r="BD57" s="462"/>
      <c r="BE57" s="461">
        <f t="shared" si="60"/>
        <v>0</v>
      </c>
      <c r="BF57" s="462"/>
      <c r="BG57" s="461">
        <f t="shared" si="61"/>
        <v>0</v>
      </c>
      <c r="BH57" s="462"/>
    </row>
    <row r="58" spans="1:60" ht="12.75">
      <c r="A58" s="112" t="str">
        <f t="shared" si="62"/>
        <v>PRB in LLAZ to 50 ug/L; GW recirc in MAAZ to 50 ug/L</v>
      </c>
      <c r="B58" s="477">
        <f t="shared" si="77"/>
        <v>1.2837238947934353E-10</v>
      </c>
      <c r="C58" s="442"/>
      <c r="D58" s="469"/>
      <c r="E58" s="461">
        <f t="shared" si="51"/>
        <v>1.2837238947934353E-10</v>
      </c>
      <c r="F58" s="462"/>
      <c r="G58" s="477">
        <f t="shared" si="63"/>
        <v>0</v>
      </c>
      <c r="H58" s="479"/>
      <c r="I58" s="460"/>
      <c r="J58" s="461">
        <f t="shared" si="52"/>
        <v>0</v>
      </c>
      <c r="K58" s="462"/>
      <c r="L58" s="477">
        <f t="shared" si="64"/>
        <v>0</v>
      </c>
      <c r="M58" s="479"/>
      <c r="N58" s="460"/>
      <c r="O58" s="461">
        <f t="shared" si="53"/>
        <v>0</v>
      </c>
      <c r="P58" s="462"/>
      <c r="Q58" s="477">
        <f t="shared" si="65"/>
        <v>0</v>
      </c>
      <c r="R58" s="478"/>
      <c r="S58" s="478"/>
      <c r="T58" s="461">
        <f t="shared" si="54"/>
        <v>0</v>
      </c>
      <c r="U58" s="462"/>
      <c r="V58" s="471"/>
      <c r="W58" s="472"/>
      <c r="X58" s="473"/>
      <c r="Y58" s="469">
        <f t="shared" si="66"/>
        <v>0</v>
      </c>
      <c r="Z58" s="470"/>
      <c r="AA58" s="469">
        <f t="shared" si="67"/>
        <v>5.9375</v>
      </c>
      <c r="AB58" s="470"/>
      <c r="AC58" s="469">
        <f t="shared" si="68"/>
        <v>0</v>
      </c>
      <c r="AD58" s="470"/>
      <c r="AE58" s="469">
        <f t="shared" si="69"/>
        <v>0</v>
      </c>
      <c r="AF58" s="470"/>
      <c r="AG58" s="469">
        <f t="shared" si="70"/>
        <v>0</v>
      </c>
      <c r="AH58" s="470"/>
      <c r="AI58" s="469">
        <f t="shared" si="71"/>
        <v>0</v>
      </c>
      <c r="AJ58" s="470"/>
      <c r="AK58" s="469">
        <f t="shared" si="72"/>
        <v>0</v>
      </c>
      <c r="AL58" s="470"/>
      <c r="AM58" s="469">
        <f t="shared" si="73"/>
        <v>0</v>
      </c>
      <c r="AN58" s="470"/>
      <c r="AO58" s="469">
        <f t="shared" si="74"/>
        <v>0</v>
      </c>
      <c r="AP58" s="470"/>
      <c r="AQ58" s="462">
        <f t="shared" si="75"/>
        <v>0</v>
      </c>
      <c r="AR58" s="468"/>
      <c r="AS58" s="462">
        <f t="shared" si="76"/>
        <v>5.9375</v>
      </c>
      <c r="AT58" s="468"/>
      <c r="AU58" s="461">
        <f t="shared" si="55"/>
        <v>0</v>
      </c>
      <c r="AV58" s="462"/>
      <c r="AW58" s="461">
        <f t="shared" si="56"/>
        <v>0</v>
      </c>
      <c r="AX58" s="462"/>
      <c r="AY58" s="461">
        <f t="shared" si="57"/>
        <v>0</v>
      </c>
      <c r="AZ58" s="462"/>
      <c r="BA58" s="461">
        <f t="shared" si="58"/>
        <v>0</v>
      </c>
      <c r="BB58" s="462"/>
      <c r="BC58" s="461">
        <f t="shared" si="59"/>
        <v>0</v>
      </c>
      <c r="BD58" s="462"/>
      <c r="BE58" s="461">
        <f t="shared" si="60"/>
        <v>0</v>
      </c>
      <c r="BF58" s="462"/>
      <c r="BG58" s="461">
        <f t="shared" si="61"/>
        <v>0</v>
      </c>
      <c r="BH58" s="462"/>
    </row>
    <row r="59" spans="1:60" ht="12.75">
      <c r="A59" s="112">
        <f t="shared" si="62"/>
      </c>
      <c r="B59" s="477">
        <f t="shared" si="77"/>
        <v>0</v>
      </c>
      <c r="C59" s="442"/>
      <c r="D59" s="469"/>
      <c r="E59" s="461">
        <f t="shared" si="51"/>
        <v>0</v>
      </c>
      <c r="F59" s="462"/>
      <c r="G59" s="477">
        <f t="shared" si="63"/>
        <v>0</v>
      </c>
      <c r="H59" s="479"/>
      <c r="I59" s="460"/>
      <c r="J59" s="461">
        <f t="shared" si="52"/>
        <v>0</v>
      </c>
      <c r="K59" s="462"/>
      <c r="L59" s="477">
        <f t="shared" si="64"/>
        <v>0</v>
      </c>
      <c r="M59" s="479"/>
      <c r="N59" s="460"/>
      <c r="O59" s="461">
        <f t="shared" si="53"/>
        <v>0</v>
      </c>
      <c r="P59" s="462"/>
      <c r="Q59" s="477">
        <f t="shared" si="65"/>
        <v>0</v>
      </c>
      <c r="R59" s="478"/>
      <c r="S59" s="478"/>
      <c r="T59" s="461">
        <f t="shared" si="54"/>
        <v>0</v>
      </c>
      <c r="U59" s="462"/>
      <c r="V59" s="471"/>
      <c r="W59" s="472"/>
      <c r="X59" s="473"/>
      <c r="Y59" s="469">
        <f t="shared" si="66"/>
        <v>0</v>
      </c>
      <c r="Z59" s="470"/>
      <c r="AA59" s="469">
        <f t="shared" si="67"/>
        <v>0</v>
      </c>
      <c r="AB59" s="470"/>
      <c r="AC59" s="469">
        <f t="shared" si="68"/>
        <v>0</v>
      </c>
      <c r="AD59" s="470"/>
      <c r="AE59" s="469">
        <f t="shared" si="69"/>
        <v>0</v>
      </c>
      <c r="AF59" s="470"/>
      <c r="AG59" s="469">
        <f t="shared" si="70"/>
        <v>0</v>
      </c>
      <c r="AH59" s="470"/>
      <c r="AI59" s="469">
        <f t="shared" si="71"/>
        <v>0</v>
      </c>
      <c r="AJ59" s="470"/>
      <c r="AK59" s="469">
        <f t="shared" si="72"/>
        <v>0</v>
      </c>
      <c r="AL59" s="470"/>
      <c r="AM59" s="469">
        <f t="shared" si="73"/>
        <v>0</v>
      </c>
      <c r="AN59" s="470"/>
      <c r="AO59" s="469">
        <f t="shared" si="74"/>
        <v>0</v>
      </c>
      <c r="AP59" s="470"/>
      <c r="AQ59" s="462">
        <f t="shared" si="75"/>
        <v>0</v>
      </c>
      <c r="AR59" s="468"/>
      <c r="AS59" s="462">
        <f t="shared" si="76"/>
        <v>0</v>
      </c>
      <c r="AT59" s="468"/>
      <c r="AU59" s="461">
        <f t="shared" si="55"/>
        <v>0</v>
      </c>
      <c r="AV59" s="462"/>
      <c r="AW59" s="461">
        <f t="shared" si="56"/>
        <v>0</v>
      </c>
      <c r="AX59" s="462"/>
      <c r="AY59" s="461">
        <f t="shared" si="57"/>
        <v>0</v>
      </c>
      <c r="AZ59" s="462"/>
      <c r="BA59" s="461">
        <f t="shared" si="58"/>
        <v>0</v>
      </c>
      <c r="BB59" s="462"/>
      <c r="BC59" s="461">
        <f t="shared" si="59"/>
        <v>0</v>
      </c>
      <c r="BD59" s="462"/>
      <c r="BE59" s="461">
        <f t="shared" si="60"/>
        <v>0</v>
      </c>
      <c r="BF59" s="462"/>
      <c r="BG59" s="461">
        <f t="shared" si="61"/>
        <v>0</v>
      </c>
      <c r="BH59" s="462"/>
    </row>
    <row r="60" spans="1:60" ht="12.75">
      <c r="A60" s="112">
        <f t="shared" si="62"/>
      </c>
      <c r="B60" s="477">
        <f t="shared" si="77"/>
        <v>0</v>
      </c>
      <c r="C60" s="442"/>
      <c r="D60" s="469"/>
      <c r="E60" s="461">
        <f t="shared" si="51"/>
        <v>0</v>
      </c>
      <c r="F60" s="462"/>
      <c r="G60" s="477">
        <f t="shared" si="63"/>
        <v>0</v>
      </c>
      <c r="H60" s="479"/>
      <c r="I60" s="460"/>
      <c r="J60" s="461">
        <f t="shared" si="52"/>
        <v>0</v>
      </c>
      <c r="K60" s="462"/>
      <c r="L60" s="477">
        <f t="shared" si="64"/>
        <v>0</v>
      </c>
      <c r="M60" s="479"/>
      <c r="N60" s="460"/>
      <c r="O60" s="461">
        <f t="shared" si="53"/>
        <v>0</v>
      </c>
      <c r="P60" s="462"/>
      <c r="Q60" s="477">
        <f t="shared" si="65"/>
        <v>0</v>
      </c>
      <c r="R60" s="478"/>
      <c r="S60" s="478"/>
      <c r="T60" s="461">
        <f t="shared" si="54"/>
        <v>0</v>
      </c>
      <c r="U60" s="462"/>
      <c r="V60" s="471"/>
      <c r="W60" s="472"/>
      <c r="X60" s="473"/>
      <c r="Y60" s="469">
        <f t="shared" si="66"/>
        <v>0</v>
      </c>
      <c r="Z60" s="470"/>
      <c r="AA60" s="469">
        <f t="shared" si="67"/>
        <v>0</v>
      </c>
      <c r="AB60" s="470"/>
      <c r="AC60" s="469">
        <f t="shared" si="68"/>
        <v>0</v>
      </c>
      <c r="AD60" s="470"/>
      <c r="AE60" s="469">
        <f t="shared" si="69"/>
        <v>0</v>
      </c>
      <c r="AF60" s="470"/>
      <c r="AG60" s="469">
        <f t="shared" si="70"/>
        <v>0</v>
      </c>
      <c r="AH60" s="470"/>
      <c r="AI60" s="469">
        <f t="shared" si="71"/>
        <v>0</v>
      </c>
      <c r="AJ60" s="470"/>
      <c r="AK60" s="469">
        <f t="shared" si="72"/>
        <v>0</v>
      </c>
      <c r="AL60" s="470"/>
      <c r="AM60" s="469">
        <f t="shared" si="73"/>
        <v>0</v>
      </c>
      <c r="AN60" s="470"/>
      <c r="AO60" s="469">
        <f t="shared" si="74"/>
        <v>0</v>
      </c>
      <c r="AP60" s="470"/>
      <c r="AQ60" s="462">
        <f t="shared" si="75"/>
        <v>0</v>
      </c>
      <c r="AR60" s="468"/>
      <c r="AS60" s="462">
        <f t="shared" si="76"/>
        <v>0</v>
      </c>
      <c r="AT60" s="468"/>
      <c r="AU60" s="461">
        <f t="shared" si="55"/>
        <v>0</v>
      </c>
      <c r="AV60" s="462"/>
      <c r="AW60" s="461">
        <f t="shared" si="56"/>
        <v>0</v>
      </c>
      <c r="AX60" s="462"/>
      <c r="AY60" s="461">
        <f t="shared" si="57"/>
        <v>0</v>
      </c>
      <c r="AZ60" s="462"/>
      <c r="BA60" s="461">
        <f t="shared" si="58"/>
        <v>0</v>
      </c>
      <c r="BB60" s="462"/>
      <c r="BC60" s="461">
        <f t="shared" si="59"/>
        <v>0</v>
      </c>
      <c r="BD60" s="462"/>
      <c r="BE60" s="461">
        <f t="shared" si="60"/>
        <v>0</v>
      </c>
      <c r="BF60" s="462"/>
      <c r="BG60" s="461">
        <f t="shared" si="61"/>
        <v>0</v>
      </c>
      <c r="BH60" s="462"/>
    </row>
    <row r="61" spans="1:60" ht="12.75">
      <c r="A61" s="112">
        <f t="shared" si="62"/>
      </c>
      <c r="B61" s="477">
        <f t="shared" si="77"/>
        <v>0</v>
      </c>
      <c r="C61" s="442"/>
      <c r="D61" s="469"/>
      <c r="E61" s="461">
        <f t="shared" si="51"/>
        <v>0</v>
      </c>
      <c r="F61" s="462"/>
      <c r="G61" s="477">
        <f t="shared" si="63"/>
        <v>0</v>
      </c>
      <c r="H61" s="479"/>
      <c r="I61" s="460"/>
      <c r="J61" s="461">
        <f t="shared" si="52"/>
        <v>0</v>
      </c>
      <c r="K61" s="462"/>
      <c r="L61" s="477">
        <f t="shared" si="64"/>
        <v>0</v>
      </c>
      <c r="M61" s="479"/>
      <c r="N61" s="460"/>
      <c r="O61" s="461">
        <f t="shared" si="53"/>
        <v>0</v>
      </c>
      <c r="P61" s="462"/>
      <c r="Q61" s="477">
        <f t="shared" si="65"/>
        <v>0</v>
      </c>
      <c r="R61" s="478"/>
      <c r="S61" s="478"/>
      <c r="T61" s="461">
        <f t="shared" si="54"/>
        <v>0</v>
      </c>
      <c r="U61" s="462"/>
      <c r="V61" s="471"/>
      <c r="W61" s="472"/>
      <c r="X61" s="473"/>
      <c r="Y61" s="469">
        <f t="shared" si="66"/>
        <v>0</v>
      </c>
      <c r="Z61" s="470"/>
      <c r="AA61" s="469">
        <f t="shared" si="67"/>
        <v>0</v>
      </c>
      <c r="AB61" s="470"/>
      <c r="AC61" s="469">
        <f t="shared" si="68"/>
        <v>0</v>
      </c>
      <c r="AD61" s="470"/>
      <c r="AE61" s="469">
        <f t="shared" si="69"/>
        <v>0</v>
      </c>
      <c r="AF61" s="470"/>
      <c r="AG61" s="469">
        <f t="shared" si="70"/>
        <v>0</v>
      </c>
      <c r="AH61" s="470"/>
      <c r="AI61" s="469">
        <f t="shared" si="71"/>
        <v>0</v>
      </c>
      <c r="AJ61" s="470"/>
      <c r="AK61" s="469">
        <f t="shared" si="72"/>
        <v>0</v>
      </c>
      <c r="AL61" s="470"/>
      <c r="AM61" s="469">
        <f t="shared" si="73"/>
        <v>0</v>
      </c>
      <c r="AN61" s="470"/>
      <c r="AO61" s="469">
        <f t="shared" si="74"/>
        <v>0</v>
      </c>
      <c r="AP61" s="470"/>
      <c r="AQ61" s="462">
        <f t="shared" si="75"/>
        <v>0</v>
      </c>
      <c r="AR61" s="468"/>
      <c r="AS61" s="462">
        <f t="shared" si="76"/>
        <v>0</v>
      </c>
      <c r="AT61" s="468"/>
      <c r="AU61" s="461">
        <f t="shared" si="55"/>
        <v>0</v>
      </c>
      <c r="AV61" s="462"/>
      <c r="AW61" s="461">
        <f t="shared" si="56"/>
        <v>0</v>
      </c>
      <c r="AX61" s="462"/>
      <c r="AY61" s="461">
        <f t="shared" si="57"/>
        <v>0</v>
      </c>
      <c r="AZ61" s="462"/>
      <c r="BA61" s="461">
        <f t="shared" si="58"/>
        <v>0</v>
      </c>
      <c r="BB61" s="462"/>
      <c r="BC61" s="461">
        <f t="shared" si="59"/>
        <v>0</v>
      </c>
      <c r="BD61" s="462"/>
      <c r="BE61" s="461">
        <f t="shared" si="60"/>
        <v>0</v>
      </c>
      <c r="BF61" s="462"/>
      <c r="BG61" s="461">
        <f t="shared" si="61"/>
        <v>0</v>
      </c>
      <c r="BH61" s="462"/>
    </row>
    <row r="62" spans="1:60" ht="12.75">
      <c r="A62" s="112">
        <f t="shared" si="62"/>
      </c>
      <c r="B62" s="477">
        <f t="shared" si="77"/>
        <v>0</v>
      </c>
      <c r="C62" s="442"/>
      <c r="D62" s="469"/>
      <c r="E62" s="461">
        <f t="shared" si="51"/>
        <v>0</v>
      </c>
      <c r="F62" s="462"/>
      <c r="G62" s="477">
        <f t="shared" si="63"/>
        <v>0</v>
      </c>
      <c r="H62" s="479"/>
      <c r="I62" s="460"/>
      <c r="J62" s="461">
        <f t="shared" si="52"/>
        <v>0</v>
      </c>
      <c r="K62" s="462"/>
      <c r="L62" s="477">
        <f t="shared" si="64"/>
        <v>0</v>
      </c>
      <c r="M62" s="479"/>
      <c r="N62" s="460"/>
      <c r="O62" s="461">
        <f t="shared" si="53"/>
        <v>0</v>
      </c>
      <c r="P62" s="462"/>
      <c r="Q62" s="477">
        <f t="shared" si="65"/>
        <v>0</v>
      </c>
      <c r="R62" s="478"/>
      <c r="S62" s="478"/>
      <c r="T62" s="461">
        <f t="shared" si="54"/>
        <v>0</v>
      </c>
      <c r="U62" s="462"/>
      <c r="V62" s="126"/>
      <c r="W62" s="167"/>
      <c r="X62" s="168"/>
      <c r="Y62" s="469">
        <f t="shared" si="66"/>
        <v>0</v>
      </c>
      <c r="Z62" s="470"/>
      <c r="AA62" s="469">
        <f t="shared" si="67"/>
        <v>0</v>
      </c>
      <c r="AB62" s="470"/>
      <c r="AC62" s="469">
        <f t="shared" si="68"/>
        <v>0</v>
      </c>
      <c r="AD62" s="470"/>
      <c r="AE62" s="469">
        <f t="shared" si="69"/>
        <v>0</v>
      </c>
      <c r="AF62" s="470"/>
      <c r="AG62" s="469">
        <f t="shared" si="70"/>
        <v>0</v>
      </c>
      <c r="AH62" s="470"/>
      <c r="AI62" s="469">
        <f t="shared" si="71"/>
        <v>0</v>
      </c>
      <c r="AJ62" s="470"/>
      <c r="AK62" s="469">
        <f t="shared" si="72"/>
        <v>0</v>
      </c>
      <c r="AL62" s="470"/>
      <c r="AM62" s="469">
        <f t="shared" si="73"/>
        <v>0</v>
      </c>
      <c r="AN62" s="470"/>
      <c r="AO62" s="469">
        <f t="shared" si="74"/>
        <v>0</v>
      </c>
      <c r="AP62" s="470"/>
      <c r="AQ62" s="462">
        <f t="shared" si="75"/>
        <v>0</v>
      </c>
      <c r="AR62" s="468"/>
      <c r="AS62" s="462">
        <f t="shared" si="76"/>
        <v>0</v>
      </c>
      <c r="AT62" s="468"/>
      <c r="AU62" s="461">
        <f t="shared" si="55"/>
        <v>0</v>
      </c>
      <c r="AV62" s="462"/>
      <c r="AW62" s="461">
        <f t="shared" si="56"/>
        <v>0</v>
      </c>
      <c r="AX62" s="462"/>
      <c r="AY62" s="461">
        <f t="shared" si="57"/>
        <v>0</v>
      </c>
      <c r="AZ62" s="462"/>
      <c r="BA62" s="461">
        <f t="shared" si="58"/>
        <v>0</v>
      </c>
      <c r="BB62" s="462"/>
      <c r="BC62" s="461">
        <f t="shared" si="59"/>
        <v>0</v>
      </c>
      <c r="BD62" s="462"/>
      <c r="BE62" s="461">
        <f t="shared" si="60"/>
        <v>0</v>
      </c>
      <c r="BF62" s="462"/>
      <c r="BG62" s="461">
        <f t="shared" si="61"/>
        <v>0</v>
      </c>
      <c r="BH62" s="462"/>
    </row>
    <row r="63" spans="1:60" ht="12.75">
      <c r="A63" s="112">
        <f t="shared" si="62"/>
      </c>
      <c r="B63" s="477">
        <f t="shared" si="77"/>
        <v>0</v>
      </c>
      <c r="C63" s="442"/>
      <c r="D63" s="469"/>
      <c r="E63" s="461">
        <f t="shared" si="51"/>
        <v>0</v>
      </c>
      <c r="F63" s="462"/>
      <c r="G63" s="477">
        <f t="shared" si="63"/>
        <v>0</v>
      </c>
      <c r="H63" s="479"/>
      <c r="I63" s="460"/>
      <c r="J63" s="461">
        <f t="shared" si="52"/>
        <v>0</v>
      </c>
      <c r="K63" s="462"/>
      <c r="L63" s="477">
        <f t="shared" si="64"/>
        <v>0</v>
      </c>
      <c r="M63" s="479"/>
      <c r="N63" s="460"/>
      <c r="O63" s="461">
        <f t="shared" si="53"/>
        <v>0</v>
      </c>
      <c r="P63" s="462"/>
      <c r="Q63" s="477">
        <f t="shared" si="65"/>
        <v>0</v>
      </c>
      <c r="R63" s="478"/>
      <c r="S63" s="478"/>
      <c r="T63" s="461">
        <f t="shared" si="54"/>
        <v>0</v>
      </c>
      <c r="U63" s="462"/>
      <c r="V63" s="126"/>
      <c r="W63" s="167"/>
      <c r="X63" s="168"/>
      <c r="Y63" s="469">
        <f t="shared" si="66"/>
        <v>0</v>
      </c>
      <c r="Z63" s="470"/>
      <c r="AA63" s="469">
        <f t="shared" si="67"/>
        <v>0</v>
      </c>
      <c r="AB63" s="470"/>
      <c r="AC63" s="469">
        <f t="shared" si="68"/>
        <v>0</v>
      </c>
      <c r="AD63" s="470"/>
      <c r="AE63" s="469">
        <f t="shared" si="69"/>
        <v>0</v>
      </c>
      <c r="AF63" s="470"/>
      <c r="AG63" s="469">
        <f t="shared" si="70"/>
        <v>0</v>
      </c>
      <c r="AH63" s="470"/>
      <c r="AI63" s="469">
        <f t="shared" si="71"/>
        <v>0</v>
      </c>
      <c r="AJ63" s="470"/>
      <c r="AK63" s="469">
        <f t="shared" si="72"/>
        <v>0</v>
      </c>
      <c r="AL63" s="470"/>
      <c r="AM63" s="469">
        <f t="shared" si="73"/>
        <v>0</v>
      </c>
      <c r="AN63" s="470"/>
      <c r="AO63" s="469">
        <f t="shared" si="74"/>
        <v>0</v>
      </c>
      <c r="AP63" s="470"/>
      <c r="AQ63" s="462">
        <f t="shared" si="75"/>
        <v>0</v>
      </c>
      <c r="AR63" s="468"/>
      <c r="AS63" s="462">
        <f t="shared" si="76"/>
        <v>0</v>
      </c>
      <c r="AT63" s="468"/>
      <c r="AU63" s="461">
        <f t="shared" si="55"/>
        <v>0</v>
      </c>
      <c r="AV63" s="462"/>
      <c r="AW63" s="461">
        <f t="shared" si="56"/>
        <v>0</v>
      </c>
      <c r="AX63" s="462"/>
      <c r="AY63" s="461">
        <f t="shared" si="57"/>
        <v>0</v>
      </c>
      <c r="AZ63" s="462"/>
      <c r="BA63" s="461">
        <f t="shared" si="58"/>
        <v>0</v>
      </c>
      <c r="BB63" s="462"/>
      <c r="BC63" s="461">
        <f t="shared" si="59"/>
        <v>0</v>
      </c>
      <c r="BD63" s="462"/>
      <c r="BE63" s="461">
        <f t="shared" si="60"/>
        <v>0</v>
      </c>
      <c r="BF63" s="462"/>
      <c r="BG63" s="461">
        <f t="shared" si="61"/>
        <v>0</v>
      </c>
      <c r="BH63" s="462"/>
    </row>
    <row r="64" spans="1:60" ht="12.75">
      <c r="A64" s="112">
        <f t="shared" si="62"/>
      </c>
      <c r="B64" s="477">
        <f t="shared" si="77"/>
        <v>0</v>
      </c>
      <c r="C64" s="442"/>
      <c r="D64" s="469"/>
      <c r="E64" s="461">
        <f t="shared" si="51"/>
        <v>0</v>
      </c>
      <c r="F64" s="462"/>
      <c r="G64" s="477">
        <f t="shared" si="63"/>
        <v>0</v>
      </c>
      <c r="H64" s="479"/>
      <c r="I64" s="460"/>
      <c r="J64" s="461">
        <f t="shared" si="52"/>
        <v>0</v>
      </c>
      <c r="K64" s="462"/>
      <c r="L64" s="477">
        <f t="shared" si="64"/>
        <v>0</v>
      </c>
      <c r="M64" s="479"/>
      <c r="N64" s="460"/>
      <c r="O64" s="461">
        <f t="shared" si="53"/>
        <v>0</v>
      </c>
      <c r="P64" s="462"/>
      <c r="Q64" s="477">
        <f t="shared" si="65"/>
        <v>0</v>
      </c>
      <c r="R64" s="478"/>
      <c r="S64" s="478"/>
      <c r="T64" s="461">
        <f t="shared" si="54"/>
        <v>0</v>
      </c>
      <c r="U64" s="462"/>
      <c r="V64" s="126"/>
      <c r="W64" s="167"/>
      <c r="X64" s="168"/>
      <c r="Y64" s="469">
        <f t="shared" si="66"/>
        <v>0</v>
      </c>
      <c r="Z64" s="470"/>
      <c r="AA64" s="469">
        <f t="shared" si="67"/>
        <v>0</v>
      </c>
      <c r="AB64" s="470"/>
      <c r="AC64" s="469">
        <f t="shared" si="68"/>
        <v>0</v>
      </c>
      <c r="AD64" s="470"/>
      <c r="AE64" s="469">
        <f t="shared" si="69"/>
        <v>0</v>
      </c>
      <c r="AF64" s="470"/>
      <c r="AG64" s="469">
        <f t="shared" si="70"/>
        <v>0</v>
      </c>
      <c r="AH64" s="470"/>
      <c r="AI64" s="469">
        <f t="shared" si="71"/>
        <v>0</v>
      </c>
      <c r="AJ64" s="470"/>
      <c r="AK64" s="469">
        <f t="shared" si="72"/>
        <v>0</v>
      </c>
      <c r="AL64" s="470"/>
      <c r="AM64" s="469">
        <f t="shared" si="73"/>
        <v>0</v>
      </c>
      <c r="AN64" s="470"/>
      <c r="AO64" s="469">
        <f t="shared" si="74"/>
        <v>0</v>
      </c>
      <c r="AP64" s="470"/>
      <c r="AQ64" s="462">
        <f t="shared" si="75"/>
        <v>0</v>
      </c>
      <c r="AR64" s="468"/>
      <c r="AS64" s="462">
        <f t="shared" si="76"/>
        <v>0</v>
      </c>
      <c r="AT64" s="468"/>
      <c r="AU64" s="461">
        <f t="shared" si="55"/>
        <v>0</v>
      </c>
      <c r="AV64" s="462"/>
      <c r="AW64" s="461">
        <f t="shared" si="56"/>
        <v>0</v>
      </c>
      <c r="AX64" s="462"/>
      <c r="AY64" s="461">
        <f t="shared" si="57"/>
        <v>0</v>
      </c>
      <c r="AZ64" s="462"/>
      <c r="BA64" s="461">
        <f t="shared" si="58"/>
        <v>0</v>
      </c>
      <c r="BB64" s="462"/>
      <c r="BC64" s="461">
        <f t="shared" si="59"/>
        <v>0</v>
      </c>
      <c r="BD64" s="462"/>
      <c r="BE64" s="461">
        <f t="shared" si="60"/>
        <v>0</v>
      </c>
      <c r="BF64" s="462"/>
      <c r="BG64" s="461">
        <f t="shared" si="61"/>
        <v>0</v>
      </c>
      <c r="BH64" s="462"/>
    </row>
    <row r="65" spans="1:60" ht="12.75">
      <c r="A65" s="112">
        <f t="shared" si="62"/>
      </c>
      <c r="B65" s="477">
        <f t="shared" si="77"/>
        <v>0</v>
      </c>
      <c r="C65" s="442"/>
      <c r="D65" s="469"/>
      <c r="E65" s="461">
        <f t="shared" si="51"/>
        <v>0</v>
      </c>
      <c r="F65" s="462"/>
      <c r="G65" s="477">
        <f t="shared" si="63"/>
        <v>0</v>
      </c>
      <c r="H65" s="479"/>
      <c r="I65" s="460"/>
      <c r="J65" s="461">
        <f t="shared" si="52"/>
        <v>0</v>
      </c>
      <c r="K65" s="462"/>
      <c r="L65" s="477">
        <f t="shared" si="64"/>
        <v>0</v>
      </c>
      <c r="M65" s="479"/>
      <c r="N65" s="460"/>
      <c r="O65" s="461">
        <f t="shared" si="53"/>
        <v>0</v>
      </c>
      <c r="P65" s="462"/>
      <c r="Q65" s="477">
        <f t="shared" si="65"/>
        <v>0</v>
      </c>
      <c r="R65" s="478"/>
      <c r="S65" s="478"/>
      <c r="T65" s="461">
        <f t="shared" si="54"/>
        <v>0</v>
      </c>
      <c r="U65" s="462"/>
      <c r="V65" s="126"/>
      <c r="W65" s="167"/>
      <c r="X65" s="168"/>
      <c r="Y65" s="469">
        <f t="shared" si="66"/>
        <v>0</v>
      </c>
      <c r="Z65" s="470"/>
      <c r="AA65" s="469">
        <f t="shared" si="67"/>
        <v>0</v>
      </c>
      <c r="AB65" s="470"/>
      <c r="AC65" s="469">
        <f t="shared" si="68"/>
        <v>0</v>
      </c>
      <c r="AD65" s="470"/>
      <c r="AE65" s="469">
        <f t="shared" si="69"/>
        <v>0</v>
      </c>
      <c r="AF65" s="470"/>
      <c r="AG65" s="469">
        <f t="shared" si="70"/>
        <v>0</v>
      </c>
      <c r="AH65" s="470"/>
      <c r="AI65" s="469">
        <f t="shared" si="71"/>
        <v>0</v>
      </c>
      <c r="AJ65" s="470"/>
      <c r="AK65" s="469">
        <f t="shared" si="72"/>
        <v>0</v>
      </c>
      <c r="AL65" s="470"/>
      <c r="AM65" s="469">
        <f t="shared" si="73"/>
        <v>0</v>
      </c>
      <c r="AN65" s="470"/>
      <c r="AO65" s="469">
        <f t="shared" si="74"/>
        <v>0</v>
      </c>
      <c r="AP65" s="470"/>
      <c r="AQ65" s="462">
        <f t="shared" si="75"/>
        <v>0</v>
      </c>
      <c r="AR65" s="468"/>
      <c r="AS65" s="462">
        <f t="shared" si="76"/>
        <v>0</v>
      </c>
      <c r="AT65" s="468"/>
      <c r="AU65" s="461">
        <f t="shared" si="55"/>
        <v>0</v>
      </c>
      <c r="AV65" s="462"/>
      <c r="AW65" s="461">
        <f t="shared" si="56"/>
        <v>0</v>
      </c>
      <c r="AX65" s="462"/>
      <c r="AY65" s="461">
        <f t="shared" si="57"/>
        <v>0</v>
      </c>
      <c r="AZ65" s="462"/>
      <c r="BA65" s="461">
        <f t="shared" si="58"/>
        <v>0</v>
      </c>
      <c r="BB65" s="462"/>
      <c r="BC65" s="461">
        <f t="shared" si="59"/>
        <v>0</v>
      </c>
      <c r="BD65" s="462"/>
      <c r="BE65" s="461">
        <f t="shared" si="60"/>
        <v>0</v>
      </c>
      <c r="BF65" s="462"/>
      <c r="BG65" s="461">
        <f t="shared" si="61"/>
        <v>0</v>
      </c>
      <c r="BH65" s="462"/>
    </row>
    <row r="66" spans="1:60" ht="12.75">
      <c r="A66" s="112">
        <f t="shared" si="62"/>
      </c>
      <c r="B66" s="477">
        <f t="shared" si="77"/>
        <v>0</v>
      </c>
      <c r="C66" s="442"/>
      <c r="D66" s="469"/>
      <c r="E66" s="461">
        <f t="shared" si="51"/>
        <v>0</v>
      </c>
      <c r="F66" s="462"/>
      <c r="G66" s="477">
        <f t="shared" si="63"/>
        <v>0</v>
      </c>
      <c r="H66" s="479"/>
      <c r="I66" s="460"/>
      <c r="J66" s="461">
        <f t="shared" si="52"/>
        <v>0</v>
      </c>
      <c r="K66" s="462"/>
      <c r="L66" s="477">
        <f t="shared" si="64"/>
        <v>0</v>
      </c>
      <c r="M66" s="479"/>
      <c r="N66" s="460"/>
      <c r="O66" s="461">
        <f t="shared" si="53"/>
        <v>0</v>
      </c>
      <c r="P66" s="462"/>
      <c r="Q66" s="477">
        <f t="shared" si="65"/>
        <v>0</v>
      </c>
      <c r="R66" s="478"/>
      <c r="S66" s="478"/>
      <c r="T66" s="461">
        <f t="shared" si="54"/>
        <v>0</v>
      </c>
      <c r="U66" s="462"/>
      <c r="V66" s="126"/>
      <c r="W66" s="167"/>
      <c r="X66" s="168"/>
      <c r="Y66" s="469">
        <f t="shared" si="66"/>
        <v>0</v>
      </c>
      <c r="Z66" s="470"/>
      <c r="AA66" s="469">
        <f t="shared" si="67"/>
        <v>0</v>
      </c>
      <c r="AB66" s="470"/>
      <c r="AC66" s="469">
        <f t="shared" si="68"/>
        <v>0</v>
      </c>
      <c r="AD66" s="470"/>
      <c r="AE66" s="469">
        <f t="shared" si="69"/>
        <v>0</v>
      </c>
      <c r="AF66" s="470"/>
      <c r="AG66" s="469">
        <f t="shared" si="70"/>
        <v>0</v>
      </c>
      <c r="AH66" s="470"/>
      <c r="AI66" s="469">
        <f t="shared" si="71"/>
        <v>0</v>
      </c>
      <c r="AJ66" s="470"/>
      <c r="AK66" s="469">
        <f t="shared" si="72"/>
        <v>0</v>
      </c>
      <c r="AL66" s="470"/>
      <c r="AM66" s="469">
        <f t="shared" si="73"/>
        <v>0</v>
      </c>
      <c r="AN66" s="470"/>
      <c r="AO66" s="469">
        <f t="shared" si="74"/>
        <v>0</v>
      </c>
      <c r="AP66" s="470"/>
      <c r="AQ66" s="462">
        <f t="shared" si="75"/>
        <v>0</v>
      </c>
      <c r="AR66" s="468"/>
      <c r="AS66" s="462">
        <f t="shared" si="76"/>
        <v>0</v>
      </c>
      <c r="AT66" s="468"/>
      <c r="AU66" s="461">
        <f t="shared" si="55"/>
        <v>0</v>
      </c>
      <c r="AV66" s="462"/>
      <c r="AW66" s="461">
        <f t="shared" si="56"/>
        <v>0</v>
      </c>
      <c r="AX66" s="462"/>
      <c r="AY66" s="461">
        <f t="shared" si="57"/>
        <v>0</v>
      </c>
      <c r="AZ66" s="462"/>
      <c r="BA66" s="461">
        <f t="shared" si="58"/>
        <v>0</v>
      </c>
      <c r="BB66" s="462"/>
      <c r="BC66" s="461">
        <f t="shared" si="59"/>
        <v>0</v>
      </c>
      <c r="BD66" s="462"/>
      <c r="BE66" s="461">
        <f t="shared" si="60"/>
        <v>0</v>
      </c>
      <c r="BF66" s="462"/>
      <c r="BG66" s="461">
        <f t="shared" si="61"/>
        <v>0</v>
      </c>
      <c r="BH66" s="462"/>
    </row>
    <row r="67" spans="1:60" ht="12.75">
      <c r="A67" s="112">
        <f t="shared" si="62"/>
      </c>
      <c r="B67" s="477">
        <f t="shared" si="77"/>
        <v>0</v>
      </c>
      <c r="C67" s="442"/>
      <c r="D67" s="469"/>
      <c r="E67" s="461">
        <f t="shared" si="51"/>
        <v>0</v>
      </c>
      <c r="F67" s="462"/>
      <c r="G67" s="477">
        <f t="shared" si="63"/>
        <v>0</v>
      </c>
      <c r="H67" s="479"/>
      <c r="I67" s="460"/>
      <c r="J67" s="461">
        <f t="shared" si="52"/>
        <v>0</v>
      </c>
      <c r="K67" s="462"/>
      <c r="L67" s="477">
        <f t="shared" si="64"/>
        <v>0</v>
      </c>
      <c r="M67" s="479"/>
      <c r="N67" s="460"/>
      <c r="O67" s="461">
        <f t="shared" si="53"/>
        <v>0</v>
      </c>
      <c r="P67" s="462"/>
      <c r="Q67" s="477">
        <f t="shared" si="65"/>
        <v>0</v>
      </c>
      <c r="R67" s="478"/>
      <c r="S67" s="478"/>
      <c r="T67" s="461">
        <f t="shared" si="54"/>
        <v>0</v>
      </c>
      <c r="U67" s="462"/>
      <c r="V67" s="126"/>
      <c r="W67" s="167"/>
      <c r="X67" s="168"/>
      <c r="Y67" s="469">
        <f t="shared" si="66"/>
        <v>0</v>
      </c>
      <c r="Z67" s="470"/>
      <c r="AA67" s="469">
        <f t="shared" si="67"/>
        <v>0</v>
      </c>
      <c r="AB67" s="470"/>
      <c r="AC67" s="469">
        <f t="shared" si="68"/>
        <v>0</v>
      </c>
      <c r="AD67" s="470"/>
      <c r="AE67" s="469">
        <f t="shared" si="69"/>
        <v>0</v>
      </c>
      <c r="AF67" s="470"/>
      <c r="AG67" s="469">
        <f t="shared" si="70"/>
        <v>0</v>
      </c>
      <c r="AH67" s="470"/>
      <c r="AI67" s="469">
        <f t="shared" si="71"/>
        <v>0</v>
      </c>
      <c r="AJ67" s="470"/>
      <c r="AK67" s="469">
        <f t="shared" si="72"/>
        <v>0</v>
      </c>
      <c r="AL67" s="470"/>
      <c r="AM67" s="469">
        <f t="shared" si="73"/>
        <v>0</v>
      </c>
      <c r="AN67" s="470"/>
      <c r="AO67" s="469">
        <f t="shared" si="74"/>
        <v>0</v>
      </c>
      <c r="AP67" s="470"/>
      <c r="AQ67" s="462">
        <f t="shared" si="75"/>
        <v>0</v>
      </c>
      <c r="AR67" s="468"/>
      <c r="AS67" s="462">
        <f t="shared" si="76"/>
        <v>0</v>
      </c>
      <c r="AT67" s="468"/>
      <c r="AU67" s="461">
        <f t="shared" si="55"/>
        <v>0</v>
      </c>
      <c r="AV67" s="462"/>
      <c r="AW67" s="461">
        <f t="shared" si="56"/>
        <v>0</v>
      </c>
      <c r="AX67" s="462"/>
      <c r="AY67" s="461">
        <f t="shared" si="57"/>
        <v>0</v>
      </c>
      <c r="AZ67" s="462"/>
      <c r="BA67" s="461">
        <f t="shared" si="58"/>
        <v>0</v>
      </c>
      <c r="BB67" s="462"/>
      <c r="BC67" s="461">
        <f t="shared" si="59"/>
        <v>0</v>
      </c>
      <c r="BD67" s="462"/>
      <c r="BE67" s="461">
        <f t="shared" si="60"/>
        <v>0</v>
      </c>
      <c r="BF67" s="462"/>
      <c r="BG67" s="461">
        <f t="shared" si="61"/>
        <v>0</v>
      </c>
      <c r="BH67" s="462"/>
    </row>
    <row r="68" spans="1:60" ht="12.75">
      <c r="A68" s="112">
        <f t="shared" si="62"/>
      </c>
      <c r="B68" s="477">
        <f t="shared" si="77"/>
        <v>0</v>
      </c>
      <c r="C68" s="442"/>
      <c r="D68" s="469"/>
      <c r="E68" s="461">
        <f t="shared" si="51"/>
        <v>0</v>
      </c>
      <c r="F68" s="462"/>
      <c r="G68" s="477">
        <f t="shared" si="63"/>
        <v>0</v>
      </c>
      <c r="H68" s="479"/>
      <c r="I68" s="460"/>
      <c r="J68" s="461">
        <f t="shared" si="52"/>
        <v>0</v>
      </c>
      <c r="K68" s="462"/>
      <c r="L68" s="477">
        <f t="shared" si="64"/>
        <v>0</v>
      </c>
      <c r="M68" s="479"/>
      <c r="N68" s="460"/>
      <c r="O68" s="461">
        <f t="shared" si="53"/>
        <v>0</v>
      </c>
      <c r="P68" s="462"/>
      <c r="Q68" s="477">
        <f t="shared" si="65"/>
        <v>0</v>
      </c>
      <c r="R68" s="478"/>
      <c r="S68" s="478"/>
      <c r="T68" s="461">
        <f t="shared" si="54"/>
        <v>0</v>
      </c>
      <c r="U68" s="462"/>
      <c r="V68" s="471"/>
      <c r="W68" s="472"/>
      <c r="X68" s="473"/>
      <c r="Y68" s="469">
        <f t="shared" si="66"/>
        <v>0</v>
      </c>
      <c r="Z68" s="470"/>
      <c r="AA68" s="469">
        <f t="shared" si="67"/>
        <v>0</v>
      </c>
      <c r="AB68" s="470"/>
      <c r="AC68" s="469">
        <f t="shared" si="68"/>
        <v>0</v>
      </c>
      <c r="AD68" s="470"/>
      <c r="AE68" s="469">
        <f t="shared" si="69"/>
        <v>0</v>
      </c>
      <c r="AF68" s="470"/>
      <c r="AG68" s="469">
        <f t="shared" si="70"/>
        <v>0</v>
      </c>
      <c r="AH68" s="470"/>
      <c r="AI68" s="469">
        <f t="shared" si="71"/>
        <v>0</v>
      </c>
      <c r="AJ68" s="470"/>
      <c r="AK68" s="469">
        <f t="shared" si="72"/>
        <v>0</v>
      </c>
      <c r="AL68" s="470"/>
      <c r="AM68" s="469">
        <f t="shared" si="73"/>
        <v>0</v>
      </c>
      <c r="AN68" s="470"/>
      <c r="AO68" s="469">
        <f t="shared" si="74"/>
        <v>0</v>
      </c>
      <c r="AP68" s="470"/>
      <c r="AQ68" s="462">
        <f t="shared" si="75"/>
        <v>0</v>
      </c>
      <c r="AR68" s="468"/>
      <c r="AS68" s="462">
        <f t="shared" si="76"/>
        <v>0</v>
      </c>
      <c r="AT68" s="468"/>
      <c r="AU68" s="461">
        <f t="shared" si="55"/>
        <v>0</v>
      </c>
      <c r="AV68" s="462"/>
      <c r="AW68" s="461">
        <f t="shared" si="56"/>
        <v>0</v>
      </c>
      <c r="AX68" s="462"/>
      <c r="AY68" s="461">
        <f t="shared" si="57"/>
        <v>0</v>
      </c>
      <c r="AZ68" s="462"/>
      <c r="BA68" s="461">
        <f t="shared" si="58"/>
        <v>0</v>
      </c>
      <c r="BB68" s="462"/>
      <c r="BC68" s="461">
        <f t="shared" si="59"/>
        <v>0</v>
      </c>
      <c r="BD68" s="462"/>
      <c r="BE68" s="461">
        <f t="shared" si="60"/>
        <v>0</v>
      </c>
      <c r="BF68" s="462"/>
      <c r="BG68" s="461">
        <f t="shared" si="61"/>
        <v>0</v>
      </c>
      <c r="BH68" s="462"/>
    </row>
    <row r="69" spans="1:60" ht="12.75">
      <c r="A69" s="112">
        <f t="shared" si="62"/>
      </c>
      <c r="B69" s="477">
        <f t="shared" si="77"/>
        <v>0</v>
      </c>
      <c r="C69" s="442"/>
      <c r="D69" s="469"/>
      <c r="E69" s="461">
        <f t="shared" si="51"/>
        <v>0</v>
      </c>
      <c r="F69" s="462"/>
      <c r="G69" s="477">
        <f t="shared" si="63"/>
        <v>0</v>
      </c>
      <c r="H69" s="479"/>
      <c r="I69" s="460"/>
      <c r="J69" s="461">
        <f t="shared" si="52"/>
        <v>0</v>
      </c>
      <c r="K69" s="462"/>
      <c r="L69" s="477">
        <f t="shared" si="64"/>
        <v>0</v>
      </c>
      <c r="M69" s="479"/>
      <c r="N69" s="460"/>
      <c r="O69" s="461">
        <f t="shared" si="53"/>
        <v>0</v>
      </c>
      <c r="P69" s="462"/>
      <c r="Q69" s="477">
        <f t="shared" si="65"/>
        <v>0</v>
      </c>
      <c r="R69" s="478"/>
      <c r="S69" s="478"/>
      <c r="T69" s="461">
        <f t="shared" si="54"/>
        <v>0</v>
      </c>
      <c r="U69" s="462"/>
      <c r="V69" s="474"/>
      <c r="W69" s="475"/>
      <c r="X69" s="476"/>
      <c r="Y69" s="469">
        <f t="shared" si="66"/>
        <v>0</v>
      </c>
      <c r="Z69" s="470"/>
      <c r="AA69" s="469">
        <f t="shared" si="67"/>
        <v>0</v>
      </c>
      <c r="AB69" s="470"/>
      <c r="AC69" s="469">
        <f t="shared" si="68"/>
        <v>0</v>
      </c>
      <c r="AD69" s="470"/>
      <c r="AE69" s="469">
        <f t="shared" si="69"/>
        <v>0</v>
      </c>
      <c r="AF69" s="470"/>
      <c r="AG69" s="469">
        <f t="shared" si="70"/>
        <v>0</v>
      </c>
      <c r="AH69" s="470"/>
      <c r="AI69" s="469">
        <f t="shared" si="71"/>
        <v>0</v>
      </c>
      <c r="AJ69" s="470"/>
      <c r="AK69" s="469">
        <f t="shared" si="72"/>
        <v>0</v>
      </c>
      <c r="AL69" s="470"/>
      <c r="AM69" s="469">
        <f t="shared" si="73"/>
        <v>0</v>
      </c>
      <c r="AN69" s="470"/>
      <c r="AO69" s="469">
        <f t="shared" si="74"/>
        <v>0</v>
      </c>
      <c r="AP69" s="470"/>
      <c r="AQ69" s="462">
        <f t="shared" si="75"/>
        <v>0</v>
      </c>
      <c r="AR69" s="468"/>
      <c r="AS69" s="462">
        <f t="shared" si="76"/>
        <v>0</v>
      </c>
      <c r="AT69" s="468"/>
      <c r="AU69" s="461">
        <f t="shared" si="55"/>
        <v>0</v>
      </c>
      <c r="AV69" s="462"/>
      <c r="AW69" s="461">
        <f t="shared" si="56"/>
        <v>0</v>
      </c>
      <c r="AX69" s="462"/>
      <c r="AY69" s="461">
        <f t="shared" si="57"/>
        <v>0</v>
      </c>
      <c r="AZ69" s="462"/>
      <c r="BA69" s="461">
        <f t="shared" si="58"/>
        <v>0</v>
      </c>
      <c r="BB69" s="462"/>
      <c r="BC69" s="461">
        <f t="shared" si="59"/>
        <v>0</v>
      </c>
      <c r="BD69" s="462"/>
      <c r="BE69" s="461">
        <f t="shared" si="60"/>
        <v>0</v>
      </c>
      <c r="BF69" s="462"/>
      <c r="BG69" s="461">
        <f t="shared" si="61"/>
        <v>0</v>
      </c>
      <c r="BH69" s="462"/>
    </row>
    <row r="70" spans="2:54" ht="12.75">
      <c r="B70"/>
      <c r="C70"/>
      <c r="D70"/>
      <c r="E70"/>
      <c r="F70"/>
      <c r="G70"/>
      <c r="H70"/>
      <c r="I70"/>
      <c r="J70"/>
      <c r="K70"/>
      <c r="L70"/>
      <c r="M70"/>
      <c r="N70"/>
      <c r="O70"/>
      <c r="P70"/>
      <c r="Q70"/>
      <c r="R70"/>
      <c r="S70"/>
      <c r="T70"/>
      <c r="U70"/>
      <c r="V70"/>
      <c r="W70"/>
      <c r="X70"/>
      <c r="Y70" s="8"/>
      <c r="Z70" s="8"/>
      <c r="AA70" s="8"/>
      <c r="AB70" s="8"/>
      <c r="AC70" s="8"/>
      <c r="AD70" s="8"/>
      <c r="AE70" s="8"/>
      <c r="AF70" s="8"/>
      <c r="AG70" s="8"/>
      <c r="AH70" s="8"/>
      <c r="AI70" s="8"/>
      <c r="AJ70" s="8"/>
      <c r="AK70" s="8"/>
      <c r="AL70" s="8"/>
      <c r="AM70" s="8"/>
      <c r="AN70" s="8"/>
      <c r="AO70" s="8"/>
      <c r="AP70" s="8"/>
      <c r="AQ70" s="8"/>
      <c r="AR70"/>
      <c r="AS70" s="8"/>
      <c r="AT70"/>
      <c r="AU70"/>
      <c r="AV70"/>
      <c r="AW70"/>
      <c r="BB70"/>
    </row>
    <row r="71" spans="1:60" ht="12.75">
      <c r="A71" s="111" t="s">
        <v>194</v>
      </c>
      <c r="B71" s="97"/>
      <c r="C71" s="109"/>
      <c r="D71" s="97"/>
      <c r="E71" s="99"/>
      <c r="F71" s="98"/>
      <c r="G71" s="99"/>
      <c r="H71" s="97"/>
      <c r="I71" s="99"/>
      <c r="J71" s="97"/>
      <c r="K71" s="99"/>
      <c r="L71" s="97"/>
      <c r="M71" s="99"/>
      <c r="N71" s="24"/>
      <c r="O71" s="24"/>
      <c r="P71" s="129"/>
      <c r="Q71" s="128"/>
      <c r="R71" s="39"/>
      <c r="S71" s="39"/>
      <c r="T71" s="39"/>
      <c r="U71" s="14"/>
      <c r="V71" s="14"/>
      <c r="W71" s="14"/>
      <c r="X71" s="14"/>
      <c r="Y71" s="24"/>
      <c r="Z71" s="24"/>
      <c r="AA71" s="24"/>
      <c r="AB71" s="24"/>
      <c r="AC71" s="24"/>
      <c r="AD71" s="24"/>
      <c r="AE71" s="24"/>
      <c r="AF71" s="24"/>
      <c r="AG71" s="24"/>
      <c r="AH71" s="24"/>
      <c r="AI71" s="24"/>
      <c r="AJ71" s="24"/>
      <c r="AK71" s="24"/>
      <c r="AL71" s="24"/>
      <c r="AM71" s="24"/>
      <c r="AN71" s="24"/>
      <c r="AO71" s="24"/>
      <c r="AP71" s="24"/>
      <c r="AQ71" s="24"/>
      <c r="AR71" s="24"/>
      <c r="AS71" s="24"/>
      <c r="AT71" s="14"/>
      <c r="AU71" s="14"/>
      <c r="AV71" s="14"/>
      <c r="AW71" s="14"/>
      <c r="AX71" s="14"/>
      <c r="AY71" s="14"/>
      <c r="AZ71" s="14"/>
      <c r="BA71" s="14"/>
      <c r="BB71" s="14"/>
      <c r="BC71" s="14"/>
      <c r="BD71" s="14"/>
      <c r="BE71" s="14"/>
      <c r="BF71" s="14"/>
      <c r="BG71" s="14"/>
      <c r="BH71" s="14"/>
    </row>
    <row r="72" spans="1:60" s="37" customFormat="1" ht="12.75">
      <c r="A72" s="112" t="str">
        <f>A50</f>
        <v>No action</v>
      </c>
      <c r="B72" s="100" t="s">
        <v>124</v>
      </c>
      <c r="C72" s="134">
        <f>(B50+G50+L50+Q50)</f>
        <v>0.0006418619473967177</v>
      </c>
      <c r="D72" s="102" t="s">
        <v>170</v>
      </c>
      <c r="E72" s="69">
        <f>V27*W27*X27</f>
        <v>0</v>
      </c>
      <c r="F72" s="34" t="s">
        <v>125</v>
      </c>
      <c r="G72" s="137">
        <f>Y50+AA50+AC50+AE50+AG50+AI50+AK50+AM50+AO50</f>
        <v>11.875</v>
      </c>
      <c r="H72" s="106" t="s">
        <v>126</v>
      </c>
      <c r="I72" s="147">
        <f>AQ27</f>
        <v>1000000000</v>
      </c>
      <c r="J72" s="104" t="s">
        <v>127</v>
      </c>
      <c r="K72" s="137">
        <f>AR27</f>
        <v>8.6</v>
      </c>
      <c r="L72" s="106" t="s">
        <v>147</v>
      </c>
      <c r="M72" s="69">
        <f aca="true" t="shared" si="78" ref="M72:M91">((AS27*AW27)/5000000)*100</f>
        <v>0</v>
      </c>
      <c r="N72" s="54"/>
      <c r="O72" s="54"/>
      <c r="P72" s="372" t="s">
        <v>281</v>
      </c>
      <c r="Q72" s="373">
        <f aca="true" t="shared" si="79" ref="Q72:Q91">E50+J50+O50+T50</f>
        <v>0.0006418619473967177</v>
      </c>
      <c r="R72" s="376" t="s">
        <v>258</v>
      </c>
      <c r="S72" s="377">
        <f aca="true" t="shared" si="80" ref="S72:S91">SUM(AQ50:BG50)</f>
        <v>11.875</v>
      </c>
      <c r="T72" s="376" t="s">
        <v>340</v>
      </c>
      <c r="U72" s="378">
        <f aca="true" t="shared" si="81" ref="U72:U91">AZ27</f>
        <v>6.142857142857142</v>
      </c>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ht="12.75">
      <c r="A73" s="112" t="str">
        <f aca="true" t="shared" si="82" ref="A73:A91">A51</f>
        <v>MNA in MAAZ &amp; LLAZ</v>
      </c>
      <c r="B73" s="100" t="s">
        <v>124</v>
      </c>
      <c r="C73" s="134">
        <f aca="true" t="shared" si="83" ref="C73:C91">(B51+G51+L51+Q51)</f>
        <v>1.2837238947934353E-09</v>
      </c>
      <c r="D73" s="102" t="s">
        <v>170</v>
      </c>
      <c r="E73" s="69">
        <f aca="true" t="shared" si="84" ref="E73:E91">V28*W28*X28</f>
        <v>0.02</v>
      </c>
      <c r="F73" s="34" t="s">
        <v>125</v>
      </c>
      <c r="G73" s="137">
        <f aca="true" t="shared" si="85" ref="G73:G91">Y51+AA51+AC51+AE51+AG51+AI51+AK51+AM51+AO51</f>
        <v>11.875</v>
      </c>
      <c r="H73" s="106" t="s">
        <v>126</v>
      </c>
      <c r="I73" s="147">
        <f aca="true" t="shared" si="86" ref="I73:I91">AQ28</f>
        <v>60</v>
      </c>
      <c r="J73" s="104" t="s">
        <v>127</v>
      </c>
      <c r="K73" s="137">
        <f aca="true" t="shared" si="87" ref="K73:K91">AR28</f>
        <v>8.6</v>
      </c>
      <c r="L73" s="106" t="s">
        <v>147</v>
      </c>
      <c r="M73" s="69">
        <f t="shared" si="78"/>
        <v>74.45501810903512</v>
      </c>
      <c r="N73" s="24"/>
      <c r="O73" s="24"/>
      <c r="P73" s="363" t="s">
        <v>281</v>
      </c>
      <c r="Q73" s="349">
        <f t="shared" si="79"/>
        <v>1.2837238947934353E-09</v>
      </c>
      <c r="R73" s="200" t="s">
        <v>258</v>
      </c>
      <c r="S73" s="198">
        <f t="shared" si="80"/>
        <v>11.875</v>
      </c>
      <c r="T73" s="200" t="s">
        <v>340</v>
      </c>
      <c r="U73" s="362">
        <f t="shared" si="81"/>
        <v>6.142857142857142</v>
      </c>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12.75">
      <c r="A74" s="112" t="str">
        <f t="shared" si="82"/>
        <v>Operate existing gw recirc wells to 50 ug/L; MNA in residual</v>
      </c>
      <c r="B74" s="100" t="s">
        <v>124</v>
      </c>
      <c r="C74" s="134">
        <f t="shared" si="83"/>
        <v>1.2837238947934353E-09</v>
      </c>
      <c r="D74" s="102" t="s">
        <v>170</v>
      </c>
      <c r="E74" s="69">
        <f t="shared" si="84"/>
        <v>0.02</v>
      </c>
      <c r="F74" s="34" t="s">
        <v>125</v>
      </c>
      <c r="G74" s="137">
        <f t="shared" si="85"/>
        <v>5.9375</v>
      </c>
      <c r="H74" s="106" t="s">
        <v>126</v>
      </c>
      <c r="I74" s="147">
        <f t="shared" si="86"/>
        <v>30</v>
      </c>
      <c r="J74" s="104" t="s">
        <v>127</v>
      </c>
      <c r="K74" s="137">
        <f t="shared" si="87"/>
        <v>6</v>
      </c>
      <c r="L74" s="106" t="s">
        <v>147</v>
      </c>
      <c r="M74" s="69">
        <f t="shared" si="78"/>
        <v>118.25851321132836</v>
      </c>
      <c r="N74" s="24"/>
      <c r="O74" s="24"/>
      <c r="P74" s="363" t="s">
        <v>281</v>
      </c>
      <c r="Q74" s="349">
        <f t="shared" si="79"/>
        <v>1.2837238947934353E-09</v>
      </c>
      <c r="R74" s="200" t="s">
        <v>258</v>
      </c>
      <c r="S74" s="198">
        <f t="shared" si="80"/>
        <v>5.9375</v>
      </c>
      <c r="T74" s="200" t="s">
        <v>340</v>
      </c>
      <c r="U74" s="362">
        <f t="shared" si="81"/>
        <v>4.285714285714286</v>
      </c>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row>
    <row r="75" spans="1:60" ht="12.75">
      <c r="A75" s="112" t="str">
        <f t="shared" si="82"/>
        <v>GW recirc in LLAZ to 50 ug/L; MNA in MAAZ</v>
      </c>
      <c r="B75" s="100" t="s">
        <v>124</v>
      </c>
      <c r="C75" s="134">
        <f t="shared" si="83"/>
        <v>1.2837238947934353E-10</v>
      </c>
      <c r="D75" s="102" t="s">
        <v>170</v>
      </c>
      <c r="E75" s="69">
        <f t="shared" si="84"/>
        <v>0.2</v>
      </c>
      <c r="F75" s="34" t="s">
        <v>125</v>
      </c>
      <c r="G75" s="137">
        <f t="shared" si="85"/>
        <v>5.9375</v>
      </c>
      <c r="H75" s="106" t="s">
        <v>126</v>
      </c>
      <c r="I75" s="147">
        <f t="shared" si="86"/>
        <v>0</v>
      </c>
      <c r="J75" s="104" t="s">
        <v>127</v>
      </c>
      <c r="K75" s="137">
        <f t="shared" si="87"/>
        <v>6</v>
      </c>
      <c r="L75" s="106" t="s">
        <v>147</v>
      </c>
      <c r="M75" s="69">
        <f t="shared" si="78"/>
        <v>157.93290079525084</v>
      </c>
      <c r="N75" s="24"/>
      <c r="O75" s="24"/>
      <c r="P75" s="363" t="s">
        <v>281</v>
      </c>
      <c r="Q75" s="349">
        <f t="shared" si="79"/>
        <v>1.2837238947934353E-10</v>
      </c>
      <c r="R75" s="200" t="s">
        <v>258</v>
      </c>
      <c r="S75" s="198">
        <f t="shared" si="80"/>
        <v>5.9375</v>
      </c>
      <c r="T75" s="200" t="s">
        <v>340</v>
      </c>
      <c r="U75" s="362">
        <f t="shared" si="81"/>
        <v>4.285714285714286</v>
      </c>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row>
    <row r="76" spans="1:60" ht="12.75">
      <c r="A76" s="112" t="str">
        <f t="shared" si="82"/>
        <v>ChemOx in LLAZ to 50 ug/L; MNA in MAAZ</v>
      </c>
      <c r="B76" s="100" t="s">
        <v>124</v>
      </c>
      <c r="C76" s="134">
        <f t="shared" si="83"/>
        <v>1.2837238947934353E-10</v>
      </c>
      <c r="D76" s="102" t="s">
        <v>170</v>
      </c>
      <c r="E76" s="69">
        <f t="shared" si="84"/>
        <v>2</v>
      </c>
      <c r="F76" s="34" t="s">
        <v>125</v>
      </c>
      <c r="G76" s="137">
        <f t="shared" si="85"/>
        <v>5.9375</v>
      </c>
      <c r="H76" s="106" t="s">
        <v>126</v>
      </c>
      <c r="I76" s="147">
        <f t="shared" si="86"/>
        <v>0</v>
      </c>
      <c r="J76" s="104" t="s">
        <v>127</v>
      </c>
      <c r="K76" s="137">
        <f t="shared" si="87"/>
        <v>5</v>
      </c>
      <c r="L76" s="106" t="s">
        <v>147</v>
      </c>
      <c r="M76" s="69">
        <f t="shared" si="78"/>
        <v>263.51745231273907</v>
      </c>
      <c r="N76" s="24"/>
      <c r="O76" s="24"/>
      <c r="P76" s="363" t="s">
        <v>281</v>
      </c>
      <c r="Q76" s="349">
        <f t="shared" si="79"/>
        <v>1.2837238947934353E-10</v>
      </c>
      <c r="R76" s="200" t="s">
        <v>258</v>
      </c>
      <c r="S76" s="198">
        <f t="shared" si="80"/>
        <v>5.9375</v>
      </c>
      <c r="T76" s="200" t="s">
        <v>340</v>
      </c>
      <c r="U76" s="362">
        <f t="shared" si="81"/>
        <v>3.571428571428571</v>
      </c>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row>
    <row r="77" spans="1:60" ht="12.75">
      <c r="A77" s="112" t="str">
        <f t="shared" si="82"/>
        <v>PRB in LLAZ to 50 ug/L; MNA in MAAZ</v>
      </c>
      <c r="B77" s="100" t="s">
        <v>124</v>
      </c>
      <c r="C77" s="134">
        <f t="shared" si="83"/>
        <v>1.2837238947934353E-10</v>
      </c>
      <c r="D77" s="102" t="s">
        <v>170</v>
      </c>
      <c r="E77" s="69">
        <f t="shared" si="84"/>
        <v>1</v>
      </c>
      <c r="F77" s="34" t="s">
        <v>125</v>
      </c>
      <c r="G77" s="137">
        <f t="shared" si="85"/>
        <v>5.9375</v>
      </c>
      <c r="H77" s="106" t="s">
        <v>126</v>
      </c>
      <c r="I77" s="147">
        <f t="shared" si="86"/>
        <v>0</v>
      </c>
      <c r="J77" s="104" t="s">
        <v>127</v>
      </c>
      <c r="K77" s="137">
        <f t="shared" si="87"/>
        <v>5</v>
      </c>
      <c r="L77" s="106" t="s">
        <v>147</v>
      </c>
      <c r="M77" s="69">
        <f t="shared" si="78"/>
        <v>924.5923771691535</v>
      </c>
      <c r="N77" s="24"/>
      <c r="O77" s="24"/>
      <c r="P77" s="363" t="s">
        <v>281</v>
      </c>
      <c r="Q77" s="349">
        <f t="shared" si="79"/>
        <v>1.2837238947934353E-10</v>
      </c>
      <c r="R77" s="200" t="s">
        <v>258</v>
      </c>
      <c r="S77" s="198">
        <f t="shared" si="80"/>
        <v>5.9375</v>
      </c>
      <c r="T77" s="200" t="s">
        <v>340</v>
      </c>
      <c r="U77" s="362">
        <f t="shared" si="81"/>
        <v>3.571428571428571</v>
      </c>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row>
    <row r="78" spans="1:60" ht="12.75">
      <c r="A78" s="112" t="str">
        <f t="shared" si="82"/>
        <v>GW recirc in LLAZ &amp; MAAZ to 50 ug/L</v>
      </c>
      <c r="B78" s="100" t="s">
        <v>124</v>
      </c>
      <c r="C78" s="134">
        <f t="shared" si="83"/>
        <v>1.2837238947934353E-10</v>
      </c>
      <c r="D78" s="102" t="s">
        <v>170</v>
      </c>
      <c r="E78" s="69">
        <f t="shared" si="84"/>
        <v>0.2</v>
      </c>
      <c r="F78" s="34" t="s">
        <v>125</v>
      </c>
      <c r="G78" s="137">
        <f t="shared" si="85"/>
        <v>5.9375</v>
      </c>
      <c r="H78" s="106" t="s">
        <v>126</v>
      </c>
      <c r="I78" s="147">
        <f t="shared" si="86"/>
        <v>0</v>
      </c>
      <c r="J78" s="104" t="s">
        <v>127</v>
      </c>
      <c r="K78" s="137">
        <f t="shared" si="87"/>
        <v>5.4</v>
      </c>
      <c r="L78" s="106" t="s">
        <v>147</v>
      </c>
      <c r="M78" s="69">
        <f t="shared" si="78"/>
        <v>192.91015548790494</v>
      </c>
      <c r="N78" s="24"/>
      <c r="O78" s="24"/>
      <c r="P78" s="363" t="s">
        <v>281</v>
      </c>
      <c r="Q78" s="349">
        <f t="shared" si="79"/>
        <v>1.2837238947934353E-10</v>
      </c>
      <c r="R78" s="200" t="s">
        <v>258</v>
      </c>
      <c r="S78" s="198">
        <f t="shared" si="80"/>
        <v>5.9375</v>
      </c>
      <c r="T78" s="200" t="s">
        <v>340</v>
      </c>
      <c r="U78" s="362">
        <f t="shared" si="81"/>
        <v>3.8571428571428568</v>
      </c>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row>
    <row r="79" spans="1:60" ht="12.75">
      <c r="A79" s="112" t="str">
        <f t="shared" si="82"/>
        <v>ChemOx in LLAZ to 50 ug/L; GW recirc in MAAZ to 50 ug/L</v>
      </c>
      <c r="B79" s="100" t="s">
        <v>124</v>
      </c>
      <c r="C79" s="134">
        <f t="shared" si="83"/>
        <v>1.2837238947934353E-10</v>
      </c>
      <c r="D79" s="102" t="s">
        <v>170</v>
      </c>
      <c r="E79" s="69">
        <f t="shared" si="84"/>
        <v>2</v>
      </c>
      <c r="F79" s="34" t="s">
        <v>125</v>
      </c>
      <c r="G79" s="137">
        <f t="shared" si="85"/>
        <v>5.9375</v>
      </c>
      <c r="H79" s="106" t="s">
        <v>126</v>
      </c>
      <c r="I79" s="147">
        <f t="shared" si="86"/>
        <v>0</v>
      </c>
      <c r="J79" s="104" t="s">
        <v>127</v>
      </c>
      <c r="K79" s="137">
        <f t="shared" si="87"/>
        <v>4.8</v>
      </c>
      <c r="L79" s="106" t="s">
        <v>147</v>
      </c>
      <c r="M79" s="69">
        <f t="shared" si="78"/>
        <v>298.7037143333064</v>
      </c>
      <c r="N79" s="24"/>
      <c r="O79" s="24"/>
      <c r="P79" s="363" t="s">
        <v>281</v>
      </c>
      <c r="Q79" s="349">
        <f t="shared" si="79"/>
        <v>1.2837238947934353E-10</v>
      </c>
      <c r="R79" s="200" t="s">
        <v>258</v>
      </c>
      <c r="S79" s="198">
        <f t="shared" si="80"/>
        <v>5.9375</v>
      </c>
      <c r="T79" s="200" t="s">
        <v>340</v>
      </c>
      <c r="U79" s="362">
        <f t="shared" si="81"/>
        <v>3.4285714285714284</v>
      </c>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row>
    <row r="80" spans="1:60" ht="12.75">
      <c r="A80" s="112" t="str">
        <f t="shared" si="82"/>
        <v>PRB in LLAZ to 50 ug/L; GW recirc in MAAZ to 50 ug/L</v>
      </c>
      <c r="B80" s="100" t="s">
        <v>124</v>
      </c>
      <c r="C80" s="134">
        <f t="shared" si="83"/>
        <v>1.2837238947934353E-10</v>
      </c>
      <c r="D80" s="102" t="s">
        <v>170</v>
      </c>
      <c r="E80" s="69">
        <f t="shared" si="84"/>
        <v>1</v>
      </c>
      <c r="F80" s="34" t="s">
        <v>125</v>
      </c>
      <c r="G80" s="137">
        <f t="shared" si="85"/>
        <v>5.9375</v>
      </c>
      <c r="H80" s="106" t="s">
        <v>126</v>
      </c>
      <c r="I80" s="147">
        <f t="shared" si="86"/>
        <v>0</v>
      </c>
      <c r="J80" s="104" t="s">
        <v>127</v>
      </c>
      <c r="K80" s="137">
        <f t="shared" si="87"/>
        <v>4.8</v>
      </c>
      <c r="L80" s="106" t="s">
        <v>147</v>
      </c>
      <c r="M80" s="69">
        <f t="shared" si="78"/>
        <v>970.0562541306858</v>
      </c>
      <c r="N80" s="24"/>
      <c r="O80" s="24"/>
      <c r="P80" s="363" t="s">
        <v>281</v>
      </c>
      <c r="Q80" s="349">
        <f t="shared" si="79"/>
        <v>1.2837238947934353E-10</v>
      </c>
      <c r="R80" s="200" t="s">
        <v>258</v>
      </c>
      <c r="S80" s="198">
        <f t="shared" si="80"/>
        <v>5.9375</v>
      </c>
      <c r="T80" s="200" t="s">
        <v>340</v>
      </c>
      <c r="U80" s="362">
        <f t="shared" si="81"/>
        <v>3.4285714285714284</v>
      </c>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row>
    <row r="81" spans="1:60" ht="12.75">
      <c r="A81" s="112">
        <f t="shared" si="82"/>
      </c>
      <c r="B81" s="100" t="s">
        <v>124</v>
      </c>
      <c r="C81" s="134">
        <f t="shared" si="83"/>
        <v>0</v>
      </c>
      <c r="D81" s="102" t="s">
        <v>170</v>
      </c>
      <c r="E81" s="69">
        <f t="shared" si="84"/>
        <v>0</v>
      </c>
      <c r="F81" s="34" t="s">
        <v>125</v>
      </c>
      <c r="G81" s="137">
        <f t="shared" si="85"/>
        <v>0</v>
      </c>
      <c r="H81" s="106" t="s">
        <v>126</v>
      </c>
      <c r="I81" s="147">
        <f t="shared" si="86"/>
        <v>0</v>
      </c>
      <c r="J81" s="104" t="s">
        <v>127</v>
      </c>
      <c r="K81" s="137">
        <f t="shared" si="87"/>
        <v>0</v>
      </c>
      <c r="L81" s="106" t="s">
        <v>147</v>
      </c>
      <c r="M81" s="69" t="e">
        <f t="shared" si="78"/>
        <v>#NUM!</v>
      </c>
      <c r="N81" s="24"/>
      <c r="O81" s="24"/>
      <c r="P81" s="363" t="s">
        <v>281</v>
      </c>
      <c r="Q81" s="349">
        <f t="shared" si="79"/>
        <v>0</v>
      </c>
      <c r="R81" s="200" t="s">
        <v>258</v>
      </c>
      <c r="S81" s="198">
        <f t="shared" si="80"/>
        <v>0</v>
      </c>
      <c r="T81" s="200" t="s">
        <v>340</v>
      </c>
      <c r="U81" s="362">
        <f t="shared" si="81"/>
        <v>0</v>
      </c>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row>
    <row r="82" spans="1:60" ht="12.75">
      <c r="A82" s="112">
        <f t="shared" si="82"/>
      </c>
      <c r="B82" s="100" t="s">
        <v>124</v>
      </c>
      <c r="C82" s="134">
        <f t="shared" si="83"/>
        <v>0</v>
      </c>
      <c r="D82" s="102" t="s">
        <v>170</v>
      </c>
      <c r="E82" s="69">
        <f t="shared" si="84"/>
        <v>0</v>
      </c>
      <c r="F82" s="34" t="s">
        <v>125</v>
      </c>
      <c r="G82" s="137">
        <f t="shared" si="85"/>
        <v>0</v>
      </c>
      <c r="H82" s="106" t="s">
        <v>126</v>
      </c>
      <c r="I82" s="147">
        <f t="shared" si="86"/>
        <v>0</v>
      </c>
      <c r="J82" s="104" t="s">
        <v>127</v>
      </c>
      <c r="K82" s="137">
        <f t="shared" si="87"/>
        <v>0</v>
      </c>
      <c r="L82" s="106" t="s">
        <v>147</v>
      </c>
      <c r="M82" s="69" t="e">
        <f t="shared" si="78"/>
        <v>#NUM!</v>
      </c>
      <c r="N82" s="24"/>
      <c r="O82" s="24"/>
      <c r="P82" s="363" t="s">
        <v>281</v>
      </c>
      <c r="Q82" s="349">
        <f t="shared" si="79"/>
        <v>0</v>
      </c>
      <c r="R82" s="200" t="s">
        <v>258</v>
      </c>
      <c r="S82" s="198">
        <f t="shared" si="80"/>
        <v>0</v>
      </c>
      <c r="T82" s="200" t="s">
        <v>340</v>
      </c>
      <c r="U82" s="362">
        <f t="shared" si="81"/>
        <v>0</v>
      </c>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row>
    <row r="83" spans="1:60" ht="12.75">
      <c r="A83" s="112">
        <f t="shared" si="82"/>
      </c>
      <c r="B83" s="100" t="s">
        <v>124</v>
      </c>
      <c r="C83" s="134">
        <f t="shared" si="83"/>
        <v>0</v>
      </c>
      <c r="D83" s="102" t="s">
        <v>170</v>
      </c>
      <c r="E83" s="69">
        <f t="shared" si="84"/>
        <v>0</v>
      </c>
      <c r="F83" s="34" t="s">
        <v>125</v>
      </c>
      <c r="G83" s="137">
        <f t="shared" si="85"/>
        <v>0</v>
      </c>
      <c r="H83" s="106" t="s">
        <v>126</v>
      </c>
      <c r="I83" s="147">
        <f t="shared" si="86"/>
        <v>0</v>
      </c>
      <c r="J83" s="104" t="s">
        <v>127</v>
      </c>
      <c r="K83" s="137">
        <f t="shared" si="87"/>
        <v>0</v>
      </c>
      <c r="L83" s="106" t="s">
        <v>147</v>
      </c>
      <c r="M83" s="69" t="e">
        <f t="shared" si="78"/>
        <v>#NUM!</v>
      </c>
      <c r="N83" s="24"/>
      <c r="O83" s="24"/>
      <c r="P83" s="363" t="s">
        <v>281</v>
      </c>
      <c r="Q83" s="349">
        <f t="shared" si="79"/>
        <v>0</v>
      </c>
      <c r="R83" s="200" t="s">
        <v>258</v>
      </c>
      <c r="S83" s="198">
        <f t="shared" si="80"/>
        <v>0</v>
      </c>
      <c r="T83" s="200" t="s">
        <v>340</v>
      </c>
      <c r="U83" s="362">
        <f t="shared" si="81"/>
        <v>0</v>
      </c>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row>
    <row r="84" spans="1:60" ht="12.75">
      <c r="A84" s="112">
        <f t="shared" si="82"/>
      </c>
      <c r="B84" s="100" t="s">
        <v>124</v>
      </c>
      <c r="C84" s="134">
        <f t="shared" si="83"/>
        <v>0</v>
      </c>
      <c r="D84" s="102" t="s">
        <v>170</v>
      </c>
      <c r="E84" s="69">
        <f t="shared" si="84"/>
        <v>0</v>
      </c>
      <c r="F84" s="34" t="s">
        <v>125</v>
      </c>
      <c r="G84" s="137">
        <f t="shared" si="85"/>
        <v>0</v>
      </c>
      <c r="H84" s="106" t="s">
        <v>126</v>
      </c>
      <c r="I84" s="147">
        <f t="shared" si="86"/>
        <v>0</v>
      </c>
      <c r="J84" s="104" t="s">
        <v>127</v>
      </c>
      <c r="K84" s="137">
        <f t="shared" si="87"/>
        <v>0</v>
      </c>
      <c r="L84" s="106" t="s">
        <v>147</v>
      </c>
      <c r="M84" s="69" t="e">
        <f t="shared" si="78"/>
        <v>#NUM!</v>
      </c>
      <c r="N84" s="24"/>
      <c r="O84" s="24"/>
      <c r="P84" s="363" t="s">
        <v>281</v>
      </c>
      <c r="Q84" s="349">
        <f t="shared" si="79"/>
        <v>0</v>
      </c>
      <c r="R84" s="200" t="s">
        <v>258</v>
      </c>
      <c r="S84" s="198">
        <f t="shared" si="80"/>
        <v>0</v>
      </c>
      <c r="T84" s="200" t="s">
        <v>340</v>
      </c>
      <c r="U84" s="362">
        <f t="shared" si="81"/>
        <v>0</v>
      </c>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row>
    <row r="85" spans="1:60" ht="12.75">
      <c r="A85" s="112">
        <f t="shared" si="82"/>
      </c>
      <c r="B85" s="100" t="s">
        <v>124</v>
      </c>
      <c r="C85" s="134">
        <f t="shared" si="83"/>
        <v>0</v>
      </c>
      <c r="D85" s="102" t="s">
        <v>170</v>
      </c>
      <c r="E85" s="69">
        <f t="shared" si="84"/>
        <v>0</v>
      </c>
      <c r="F85" s="34" t="s">
        <v>125</v>
      </c>
      <c r="G85" s="137">
        <f t="shared" si="85"/>
        <v>0</v>
      </c>
      <c r="H85" s="106" t="s">
        <v>126</v>
      </c>
      <c r="I85" s="147">
        <f t="shared" si="86"/>
        <v>0</v>
      </c>
      <c r="J85" s="104" t="s">
        <v>127</v>
      </c>
      <c r="K85" s="137">
        <f t="shared" si="87"/>
        <v>0</v>
      </c>
      <c r="L85" s="106" t="s">
        <v>147</v>
      </c>
      <c r="M85" s="69" t="e">
        <f t="shared" si="78"/>
        <v>#NUM!</v>
      </c>
      <c r="N85" s="24"/>
      <c r="O85" s="24"/>
      <c r="P85" s="363" t="s">
        <v>281</v>
      </c>
      <c r="Q85" s="349">
        <f t="shared" si="79"/>
        <v>0</v>
      </c>
      <c r="R85" s="200" t="s">
        <v>258</v>
      </c>
      <c r="S85" s="198">
        <f t="shared" si="80"/>
        <v>0</v>
      </c>
      <c r="T85" s="200" t="s">
        <v>340</v>
      </c>
      <c r="U85" s="362">
        <f t="shared" si="81"/>
        <v>0</v>
      </c>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row>
    <row r="86" spans="1:60" ht="12.75">
      <c r="A86" s="112">
        <f t="shared" si="82"/>
      </c>
      <c r="B86" s="100" t="s">
        <v>124</v>
      </c>
      <c r="C86" s="134">
        <f t="shared" si="83"/>
        <v>0</v>
      </c>
      <c r="D86" s="102" t="s">
        <v>170</v>
      </c>
      <c r="E86" s="69">
        <f t="shared" si="84"/>
        <v>0</v>
      </c>
      <c r="F86" s="34" t="s">
        <v>125</v>
      </c>
      <c r="G86" s="137">
        <f t="shared" si="85"/>
        <v>0</v>
      </c>
      <c r="H86" s="106" t="s">
        <v>126</v>
      </c>
      <c r="I86" s="147">
        <f t="shared" si="86"/>
        <v>0</v>
      </c>
      <c r="J86" s="104" t="s">
        <v>127</v>
      </c>
      <c r="K86" s="137">
        <f t="shared" si="87"/>
        <v>0</v>
      </c>
      <c r="L86" s="106" t="s">
        <v>147</v>
      </c>
      <c r="M86" s="69" t="e">
        <f t="shared" si="78"/>
        <v>#NUM!</v>
      </c>
      <c r="N86" s="24"/>
      <c r="O86" s="24"/>
      <c r="P86" s="363" t="s">
        <v>281</v>
      </c>
      <c r="Q86" s="349">
        <f t="shared" si="79"/>
        <v>0</v>
      </c>
      <c r="R86" s="200" t="s">
        <v>258</v>
      </c>
      <c r="S86" s="198">
        <f t="shared" si="80"/>
        <v>0</v>
      </c>
      <c r="T86" s="200" t="s">
        <v>340</v>
      </c>
      <c r="U86" s="362">
        <f t="shared" si="81"/>
        <v>0</v>
      </c>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row>
    <row r="87" spans="1:60" ht="12.75">
      <c r="A87" s="112">
        <f t="shared" si="82"/>
      </c>
      <c r="B87" s="100" t="s">
        <v>124</v>
      </c>
      <c r="C87" s="134">
        <f t="shared" si="83"/>
        <v>0</v>
      </c>
      <c r="D87" s="102" t="s">
        <v>170</v>
      </c>
      <c r="E87" s="69">
        <f t="shared" si="84"/>
        <v>0</v>
      </c>
      <c r="F87" s="34" t="s">
        <v>125</v>
      </c>
      <c r="G87" s="137">
        <f t="shared" si="85"/>
        <v>0</v>
      </c>
      <c r="H87" s="106" t="s">
        <v>126</v>
      </c>
      <c r="I87" s="147">
        <f t="shared" si="86"/>
        <v>0</v>
      </c>
      <c r="J87" s="104" t="s">
        <v>127</v>
      </c>
      <c r="K87" s="137">
        <f t="shared" si="87"/>
        <v>0</v>
      </c>
      <c r="L87" s="106" t="s">
        <v>147</v>
      </c>
      <c r="M87" s="69" t="e">
        <f t="shared" si="78"/>
        <v>#NUM!</v>
      </c>
      <c r="N87" s="24"/>
      <c r="O87" s="24"/>
      <c r="P87" s="363" t="s">
        <v>281</v>
      </c>
      <c r="Q87" s="349">
        <f t="shared" si="79"/>
        <v>0</v>
      </c>
      <c r="R87" s="200" t="s">
        <v>258</v>
      </c>
      <c r="S87" s="198">
        <f t="shared" si="80"/>
        <v>0</v>
      </c>
      <c r="T87" s="200" t="s">
        <v>340</v>
      </c>
      <c r="U87" s="362">
        <f t="shared" si="81"/>
        <v>0</v>
      </c>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row>
    <row r="88" spans="1:60" ht="12.75">
      <c r="A88" s="112">
        <f t="shared" si="82"/>
      </c>
      <c r="B88" s="100" t="s">
        <v>124</v>
      </c>
      <c r="C88" s="134">
        <f t="shared" si="83"/>
        <v>0</v>
      </c>
      <c r="D88" s="102" t="s">
        <v>170</v>
      </c>
      <c r="E88" s="69">
        <f t="shared" si="84"/>
        <v>0</v>
      </c>
      <c r="F88" s="34" t="s">
        <v>125</v>
      </c>
      <c r="G88" s="137">
        <f t="shared" si="85"/>
        <v>0</v>
      </c>
      <c r="H88" s="106" t="s">
        <v>126</v>
      </c>
      <c r="I88" s="147">
        <f t="shared" si="86"/>
        <v>0</v>
      </c>
      <c r="J88" s="104" t="s">
        <v>127</v>
      </c>
      <c r="K88" s="137">
        <f t="shared" si="87"/>
        <v>0</v>
      </c>
      <c r="L88" s="106" t="s">
        <v>147</v>
      </c>
      <c r="M88" s="69" t="e">
        <f t="shared" si="78"/>
        <v>#NUM!</v>
      </c>
      <c r="N88" s="24"/>
      <c r="O88" s="24"/>
      <c r="P88" s="363" t="s">
        <v>281</v>
      </c>
      <c r="Q88" s="349">
        <f t="shared" si="79"/>
        <v>0</v>
      </c>
      <c r="R88" s="200" t="s">
        <v>258</v>
      </c>
      <c r="S88" s="198">
        <f t="shared" si="80"/>
        <v>0</v>
      </c>
      <c r="T88" s="200" t="s">
        <v>340</v>
      </c>
      <c r="U88" s="362">
        <f t="shared" si="81"/>
        <v>0</v>
      </c>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row>
    <row r="89" spans="1:60" ht="12.75">
      <c r="A89" s="112">
        <f t="shared" si="82"/>
      </c>
      <c r="B89" s="100" t="s">
        <v>124</v>
      </c>
      <c r="C89" s="134">
        <f t="shared" si="83"/>
        <v>0</v>
      </c>
      <c r="D89" s="102" t="s">
        <v>170</v>
      </c>
      <c r="E89" s="69">
        <f t="shared" si="84"/>
        <v>0</v>
      </c>
      <c r="F89" s="34" t="s">
        <v>125</v>
      </c>
      <c r="G89" s="137">
        <f t="shared" si="85"/>
        <v>0</v>
      </c>
      <c r="H89" s="106" t="s">
        <v>126</v>
      </c>
      <c r="I89" s="147">
        <f t="shared" si="86"/>
        <v>0</v>
      </c>
      <c r="J89" s="104" t="s">
        <v>127</v>
      </c>
      <c r="K89" s="137">
        <f t="shared" si="87"/>
        <v>0</v>
      </c>
      <c r="L89" s="106" t="s">
        <v>147</v>
      </c>
      <c r="M89" s="69" t="e">
        <f t="shared" si="78"/>
        <v>#NUM!</v>
      </c>
      <c r="N89" s="24"/>
      <c r="O89" s="24"/>
      <c r="P89" s="363" t="s">
        <v>281</v>
      </c>
      <c r="Q89" s="349">
        <f t="shared" si="79"/>
        <v>0</v>
      </c>
      <c r="R89" s="200" t="s">
        <v>258</v>
      </c>
      <c r="S89" s="198">
        <f t="shared" si="80"/>
        <v>0</v>
      </c>
      <c r="T89" s="200" t="s">
        <v>340</v>
      </c>
      <c r="U89" s="362">
        <f t="shared" si="81"/>
        <v>0</v>
      </c>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row>
    <row r="90" spans="1:60" ht="12.75">
      <c r="A90" s="112">
        <f t="shared" si="82"/>
      </c>
      <c r="B90" s="100" t="s">
        <v>124</v>
      </c>
      <c r="C90" s="134">
        <f t="shared" si="83"/>
        <v>0</v>
      </c>
      <c r="D90" s="102" t="s">
        <v>170</v>
      </c>
      <c r="E90" s="69">
        <f t="shared" si="84"/>
        <v>0</v>
      </c>
      <c r="F90" s="34" t="s">
        <v>125</v>
      </c>
      <c r="G90" s="137">
        <f t="shared" si="85"/>
        <v>0</v>
      </c>
      <c r="H90" s="106" t="s">
        <v>126</v>
      </c>
      <c r="I90" s="147">
        <f t="shared" si="86"/>
        <v>0</v>
      </c>
      <c r="J90" s="104" t="s">
        <v>127</v>
      </c>
      <c r="K90" s="137">
        <f t="shared" si="87"/>
        <v>0</v>
      </c>
      <c r="L90" s="106" t="s">
        <v>147</v>
      </c>
      <c r="M90" s="69" t="e">
        <f t="shared" si="78"/>
        <v>#NUM!</v>
      </c>
      <c r="N90" s="24"/>
      <c r="O90" s="24"/>
      <c r="P90" s="363" t="s">
        <v>281</v>
      </c>
      <c r="Q90" s="349">
        <f t="shared" si="79"/>
        <v>0</v>
      </c>
      <c r="R90" s="200" t="s">
        <v>258</v>
      </c>
      <c r="S90" s="198">
        <f t="shared" si="80"/>
        <v>0</v>
      </c>
      <c r="T90" s="200" t="s">
        <v>340</v>
      </c>
      <c r="U90" s="362">
        <f t="shared" si="81"/>
        <v>0</v>
      </c>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row>
    <row r="91" spans="1:60" ht="12.75">
      <c r="A91" s="112">
        <f t="shared" si="82"/>
      </c>
      <c r="B91" s="101" t="s">
        <v>124</v>
      </c>
      <c r="C91" s="135">
        <f t="shared" si="83"/>
        <v>0</v>
      </c>
      <c r="D91" s="103" t="s">
        <v>170</v>
      </c>
      <c r="E91" s="130">
        <f t="shared" si="84"/>
        <v>0</v>
      </c>
      <c r="F91" s="110" t="s">
        <v>125</v>
      </c>
      <c r="G91" s="137">
        <f t="shared" si="85"/>
        <v>0</v>
      </c>
      <c r="H91" s="107" t="s">
        <v>126</v>
      </c>
      <c r="I91" s="108">
        <f t="shared" si="86"/>
        <v>0</v>
      </c>
      <c r="J91" s="105" t="s">
        <v>127</v>
      </c>
      <c r="K91" s="138">
        <f t="shared" si="87"/>
        <v>0</v>
      </c>
      <c r="L91" s="107" t="s">
        <v>147</v>
      </c>
      <c r="M91" s="130" t="e">
        <f t="shared" si="78"/>
        <v>#NUM!</v>
      </c>
      <c r="N91" s="24"/>
      <c r="O91" s="24"/>
      <c r="P91" s="374" t="s">
        <v>281</v>
      </c>
      <c r="Q91" s="375">
        <f t="shared" si="79"/>
        <v>0</v>
      </c>
      <c r="R91" s="368" t="s">
        <v>258</v>
      </c>
      <c r="S91" s="369">
        <f t="shared" si="80"/>
        <v>0</v>
      </c>
      <c r="T91" s="368" t="s">
        <v>340</v>
      </c>
      <c r="U91" s="379">
        <f t="shared" si="81"/>
        <v>0</v>
      </c>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row>
    <row r="92" spans="2:54" ht="12.75">
      <c r="B92"/>
      <c r="C92"/>
      <c r="D92"/>
      <c r="E92"/>
      <c r="F92"/>
      <c r="G92"/>
      <c r="H92"/>
      <c r="I92"/>
      <c r="J92"/>
      <c r="K92"/>
      <c r="L92"/>
      <c r="M92"/>
      <c r="N92"/>
      <c r="O92"/>
      <c r="AA92"/>
      <c r="AB92"/>
      <c r="AC92"/>
      <c r="AD92"/>
      <c r="AE92"/>
      <c r="AF92"/>
      <c r="AG92"/>
      <c r="AH92"/>
      <c r="AI92"/>
      <c r="AJ92"/>
      <c r="AK92"/>
      <c r="AL92"/>
      <c r="AM92"/>
      <c r="AN92"/>
      <c r="AO92"/>
      <c r="AP92"/>
      <c r="AQ92"/>
      <c r="AR92"/>
      <c r="AS92"/>
      <c r="AT92"/>
      <c r="AU92"/>
      <c r="AV92"/>
      <c r="AW92"/>
      <c r="BB92"/>
    </row>
    <row r="93" spans="1:60" ht="12.75">
      <c r="A93" s="111" t="s">
        <v>189</v>
      </c>
      <c r="B93" s="97" t="s">
        <v>181</v>
      </c>
      <c r="C93" s="99">
        <f>'Weights-options'!G7</f>
        <v>0.2555583950932788</v>
      </c>
      <c r="D93" s="97" t="s">
        <v>181</v>
      </c>
      <c r="E93" s="99">
        <f>'Weights-options'!G8</f>
        <v>0.2555583950932788</v>
      </c>
      <c r="F93" s="97" t="s">
        <v>182</v>
      </c>
      <c r="G93" s="99">
        <f>'Weights-options'!G9</f>
        <v>0.516795865633075</v>
      </c>
      <c r="H93" s="97" t="s">
        <v>183</v>
      </c>
      <c r="I93" s="99">
        <f>'Weights-options'!G10</f>
        <v>0.09302325581395349</v>
      </c>
      <c r="J93" s="97" t="s">
        <v>184</v>
      </c>
      <c r="K93" s="99">
        <f>'Weights-options'!G11</f>
        <v>0.46511627906976744</v>
      </c>
      <c r="L93" s="97" t="s">
        <v>185</v>
      </c>
      <c r="M93" s="99">
        <f>'Weights-options'!G12</f>
        <v>0.23255813953488372</v>
      </c>
      <c r="N93" s="118" t="s">
        <v>261</v>
      </c>
      <c r="O93" s="121"/>
      <c r="P93" s="97" t="s">
        <v>181</v>
      </c>
      <c r="Q93" s="99">
        <f>'Weights-options'!G7</f>
        <v>0.2555583950932788</v>
      </c>
      <c r="R93" s="97" t="s">
        <v>182</v>
      </c>
      <c r="S93" s="370">
        <f>'Weights-options'!G9</f>
        <v>0.516795865633075</v>
      </c>
      <c r="T93" s="97" t="s">
        <v>184</v>
      </c>
      <c r="U93" s="370">
        <f>'Weights-options'!G11</f>
        <v>0.46511627906976744</v>
      </c>
      <c r="V93" s="118" t="s">
        <v>342</v>
      </c>
      <c r="W93" s="121"/>
      <c r="X93" s="24"/>
      <c r="Y93" s="24"/>
      <c r="Z93" s="24"/>
      <c r="AA93" s="24"/>
      <c r="AB93" s="24"/>
      <c r="AC93" s="24"/>
      <c r="AD93" s="24"/>
      <c r="AE93" s="24"/>
      <c r="AF93" s="24"/>
      <c r="AG93" s="24"/>
      <c r="AH93" s="24"/>
      <c r="AI93" s="24"/>
      <c r="AJ93" s="24"/>
      <c r="AK93" s="24"/>
      <c r="AL93" s="24"/>
      <c r="AM93" s="24"/>
      <c r="AN93" s="24"/>
      <c r="AO93" s="14"/>
      <c r="AP93" s="14"/>
      <c r="AQ93" s="14"/>
      <c r="AR93" s="14"/>
      <c r="AS93" s="14"/>
      <c r="AT93" s="14"/>
      <c r="AU93" s="14"/>
      <c r="AV93" s="14"/>
      <c r="AW93" s="14"/>
      <c r="AX93" s="14"/>
      <c r="AY93" s="14"/>
      <c r="AZ93" s="14"/>
      <c r="BA93" s="14"/>
      <c r="BB93" s="14"/>
      <c r="BC93" s="14"/>
      <c r="BD93" s="14"/>
      <c r="BE93" s="14"/>
      <c r="BF93" s="14"/>
      <c r="BG93" s="14"/>
      <c r="BH93" s="14"/>
    </row>
    <row r="94" spans="1:60" s="37" customFormat="1" ht="12.75">
      <c r="A94" s="113" t="str">
        <f>A72</f>
        <v>No action</v>
      </c>
      <c r="B94" s="364" t="s">
        <v>362</v>
      </c>
      <c r="C94" s="137">
        <f>C72*C$93</f>
        <v>0.00016403320914815174</v>
      </c>
      <c r="D94" s="365" t="s">
        <v>315</v>
      </c>
      <c r="E94" s="69">
        <f>E72*E$93</f>
        <v>0</v>
      </c>
      <c r="F94" s="366" t="s">
        <v>316</v>
      </c>
      <c r="G94" s="137">
        <f>G72*G$93</f>
        <v>6.136950904392766</v>
      </c>
      <c r="H94" s="367" t="s">
        <v>317</v>
      </c>
      <c r="I94" s="69">
        <f>I72*I$93</f>
        <v>93023255.81395349</v>
      </c>
      <c r="J94" s="366" t="s">
        <v>319</v>
      </c>
      <c r="K94" s="137">
        <f>K72*K$93</f>
        <v>4</v>
      </c>
      <c r="L94" s="367" t="s">
        <v>318</v>
      </c>
      <c r="M94" s="69">
        <f aca="true" t="shared" si="88" ref="M94:M103">IF(A94="","",M72*M$93)</f>
        <v>0</v>
      </c>
      <c r="N94" s="385" t="s">
        <v>347</v>
      </c>
      <c r="O94" s="148">
        <f>IF(A94="","",M94+K94+I94+G94+E94+C94)</f>
        <v>93023265.95106843</v>
      </c>
      <c r="P94" s="371" t="s">
        <v>343</v>
      </c>
      <c r="Q94" s="198">
        <f>Q72*Q$93</f>
        <v>0.00016403320914815174</v>
      </c>
      <c r="R94" s="363" t="s">
        <v>320</v>
      </c>
      <c r="S94" s="198">
        <f>S72*S$93</f>
        <v>6.136950904392766</v>
      </c>
      <c r="T94" s="363" t="s">
        <v>344</v>
      </c>
      <c r="U94" s="198">
        <f aca="true" t="shared" si="89" ref="U94:U113">U72*U$93</f>
        <v>2.8571428571428568</v>
      </c>
      <c r="V94" s="380" t="s">
        <v>360</v>
      </c>
      <c r="W94" s="201">
        <f>IF(A94="","",M94+U94+I94+S94+E94+Q94)</f>
        <v>93023264.80821128</v>
      </c>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row>
    <row r="95" spans="1:60" ht="12.75">
      <c r="A95" s="192" t="str">
        <f aca="true" t="shared" si="90" ref="A95:A113">A73</f>
        <v>MNA in MAAZ &amp; LLAZ</v>
      </c>
      <c r="B95" s="100" t="s">
        <v>124</v>
      </c>
      <c r="C95" s="137">
        <f aca="true" t="shared" si="91" ref="C95:C113">C73*C$93</f>
        <v>3.280664182963034E-10</v>
      </c>
      <c r="D95" s="102" t="s">
        <v>170</v>
      </c>
      <c r="E95" s="69">
        <f aca="true" t="shared" si="92" ref="E95:E113">E73*E$93</f>
        <v>0.005111167901865577</v>
      </c>
      <c r="F95" s="104" t="s">
        <v>125</v>
      </c>
      <c r="G95" s="137">
        <f aca="true" t="shared" si="93" ref="G95:G113">G73*G$93</f>
        <v>6.136950904392766</v>
      </c>
      <c r="H95" s="106" t="s">
        <v>126</v>
      </c>
      <c r="I95" s="69">
        <f aca="true" t="shared" si="94" ref="I95:I113">I73*I$93</f>
        <v>5.5813953488372094</v>
      </c>
      <c r="J95" s="104" t="s">
        <v>127</v>
      </c>
      <c r="K95" s="137">
        <f aca="true" t="shared" si="95" ref="K95:K113">K73*K$93</f>
        <v>4</v>
      </c>
      <c r="L95" s="106" t="s">
        <v>147</v>
      </c>
      <c r="M95" s="69">
        <f t="shared" si="88"/>
        <v>17.315120490473284</v>
      </c>
      <c r="N95" s="386" t="s">
        <v>187</v>
      </c>
      <c r="O95" s="148">
        <f aca="true" t="shared" si="96" ref="O95:O113">IF(A95="","",M95+K95+I95+G95+E95+C95)</f>
        <v>33.03857791193319</v>
      </c>
      <c r="P95" s="266" t="s">
        <v>124</v>
      </c>
      <c r="Q95" s="198">
        <f aca="true" t="shared" si="97" ref="Q95:Q113">Q73*Q$93</f>
        <v>3.280664182963034E-10</v>
      </c>
      <c r="R95" s="200" t="s">
        <v>258</v>
      </c>
      <c r="S95" s="198">
        <f aca="true" t="shared" si="98" ref="S95:S113">S73*S$93</f>
        <v>6.136950904392766</v>
      </c>
      <c r="T95" s="197" t="s">
        <v>340</v>
      </c>
      <c r="U95" s="198">
        <f t="shared" si="89"/>
        <v>2.8571428571428568</v>
      </c>
      <c r="V95" s="381" t="s">
        <v>289</v>
      </c>
      <c r="W95" s="201">
        <f aca="true" t="shared" si="99" ref="W95:W113">IF(A95="","",M95+U95+I95+S95+E95+Q95)</f>
        <v>31.895720769076046</v>
      </c>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row>
    <row r="96" spans="1:60" ht="12.75">
      <c r="A96" s="192" t="str">
        <f t="shared" si="90"/>
        <v>Operate existing gw recirc wells to 50 ug/L; MNA in residual</v>
      </c>
      <c r="B96" s="100" t="s">
        <v>124</v>
      </c>
      <c r="C96" s="137">
        <f t="shared" si="91"/>
        <v>3.280664182963034E-10</v>
      </c>
      <c r="D96" s="102" t="s">
        <v>170</v>
      </c>
      <c r="E96" s="69">
        <f t="shared" si="92"/>
        <v>0.005111167901865577</v>
      </c>
      <c r="F96" s="104" t="s">
        <v>125</v>
      </c>
      <c r="G96" s="137">
        <f t="shared" si="93"/>
        <v>3.068475452196383</v>
      </c>
      <c r="H96" s="106" t="s">
        <v>126</v>
      </c>
      <c r="I96" s="69">
        <f t="shared" si="94"/>
        <v>2.7906976744186047</v>
      </c>
      <c r="J96" s="104" t="s">
        <v>127</v>
      </c>
      <c r="K96" s="137">
        <f t="shared" si="95"/>
        <v>2.7906976744186047</v>
      </c>
      <c r="L96" s="106" t="s">
        <v>147</v>
      </c>
      <c r="M96" s="69">
        <f t="shared" si="88"/>
        <v>27.50197981658799</v>
      </c>
      <c r="N96" s="386" t="s">
        <v>187</v>
      </c>
      <c r="O96" s="148">
        <f t="shared" si="96"/>
        <v>36.156961785851514</v>
      </c>
      <c r="P96" s="266" t="s">
        <v>124</v>
      </c>
      <c r="Q96" s="198">
        <f t="shared" si="97"/>
        <v>3.280664182963034E-10</v>
      </c>
      <c r="R96" s="200" t="s">
        <v>258</v>
      </c>
      <c r="S96" s="198">
        <f t="shared" si="98"/>
        <v>3.068475452196383</v>
      </c>
      <c r="T96" s="197" t="s">
        <v>340</v>
      </c>
      <c r="U96" s="198">
        <f t="shared" si="89"/>
        <v>1.9933554817275747</v>
      </c>
      <c r="V96" s="381" t="s">
        <v>289</v>
      </c>
      <c r="W96" s="201">
        <f t="shared" si="99"/>
        <v>35.35961959316048</v>
      </c>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row>
    <row r="97" spans="1:60" ht="12.75">
      <c r="A97" s="192" t="str">
        <f t="shared" si="90"/>
        <v>GW recirc in LLAZ to 50 ug/L; MNA in MAAZ</v>
      </c>
      <c r="B97" s="100" t="s">
        <v>124</v>
      </c>
      <c r="C97" s="137">
        <f t="shared" si="91"/>
        <v>3.280664182963035E-11</v>
      </c>
      <c r="D97" s="102" t="s">
        <v>170</v>
      </c>
      <c r="E97" s="69">
        <f t="shared" si="92"/>
        <v>0.051111679018655765</v>
      </c>
      <c r="F97" s="104" t="s">
        <v>125</v>
      </c>
      <c r="G97" s="137">
        <f t="shared" si="93"/>
        <v>3.068475452196383</v>
      </c>
      <c r="H97" s="106" t="s">
        <v>126</v>
      </c>
      <c r="I97" s="69">
        <f t="shared" si="94"/>
        <v>0</v>
      </c>
      <c r="J97" s="104" t="s">
        <v>127</v>
      </c>
      <c r="K97" s="137">
        <f t="shared" si="95"/>
        <v>2.7906976744186047</v>
      </c>
      <c r="L97" s="106" t="s">
        <v>147</v>
      </c>
      <c r="M97" s="69">
        <f t="shared" si="88"/>
        <v>36.72858158029089</v>
      </c>
      <c r="N97" s="386" t="s">
        <v>187</v>
      </c>
      <c r="O97" s="148">
        <f t="shared" si="96"/>
        <v>42.638866385957336</v>
      </c>
      <c r="P97" s="266" t="s">
        <v>124</v>
      </c>
      <c r="Q97" s="198">
        <f t="shared" si="97"/>
        <v>3.280664182963035E-11</v>
      </c>
      <c r="R97" s="200" t="s">
        <v>258</v>
      </c>
      <c r="S97" s="198">
        <f t="shared" si="98"/>
        <v>3.068475452196383</v>
      </c>
      <c r="T97" s="197" t="s">
        <v>340</v>
      </c>
      <c r="U97" s="198">
        <f t="shared" si="89"/>
        <v>1.9933554817275747</v>
      </c>
      <c r="V97" s="381" t="s">
        <v>289</v>
      </c>
      <c r="W97" s="201">
        <f t="shared" si="99"/>
        <v>41.84152419326631</v>
      </c>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12.75">
      <c r="A98" s="192" t="str">
        <f t="shared" si="90"/>
        <v>ChemOx in LLAZ to 50 ug/L; MNA in MAAZ</v>
      </c>
      <c r="B98" s="100" t="s">
        <v>124</v>
      </c>
      <c r="C98" s="137">
        <f t="shared" si="91"/>
        <v>3.280664182963035E-11</v>
      </c>
      <c r="D98" s="102" t="s">
        <v>170</v>
      </c>
      <c r="E98" s="69">
        <f t="shared" si="92"/>
        <v>0.5111167901865576</v>
      </c>
      <c r="F98" s="104" t="s">
        <v>125</v>
      </c>
      <c r="G98" s="137">
        <f t="shared" si="93"/>
        <v>3.068475452196383</v>
      </c>
      <c r="H98" s="106" t="s">
        <v>126</v>
      </c>
      <c r="I98" s="69">
        <f t="shared" si="94"/>
        <v>0</v>
      </c>
      <c r="J98" s="104" t="s">
        <v>127</v>
      </c>
      <c r="K98" s="137">
        <f t="shared" si="95"/>
        <v>2.3255813953488373</v>
      </c>
      <c r="L98" s="106" t="s">
        <v>147</v>
      </c>
      <c r="M98" s="69">
        <f t="shared" si="88"/>
        <v>61.283128444823035</v>
      </c>
      <c r="N98" s="386" t="s">
        <v>187</v>
      </c>
      <c r="O98" s="148">
        <f t="shared" si="96"/>
        <v>67.18830208258763</v>
      </c>
      <c r="P98" s="266" t="s">
        <v>124</v>
      </c>
      <c r="Q98" s="198">
        <f t="shared" si="97"/>
        <v>3.280664182963035E-11</v>
      </c>
      <c r="R98" s="200" t="s">
        <v>258</v>
      </c>
      <c r="S98" s="198">
        <f t="shared" si="98"/>
        <v>3.068475452196383</v>
      </c>
      <c r="T98" s="197" t="s">
        <v>340</v>
      </c>
      <c r="U98" s="198">
        <f t="shared" si="89"/>
        <v>1.661129568106312</v>
      </c>
      <c r="V98" s="381" t="s">
        <v>289</v>
      </c>
      <c r="W98" s="201">
        <f t="shared" si="99"/>
        <v>66.52385025534511</v>
      </c>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row>
    <row r="99" spans="1:60" ht="12.75">
      <c r="A99" s="192" t="str">
        <f t="shared" si="90"/>
        <v>PRB in LLAZ to 50 ug/L; MNA in MAAZ</v>
      </c>
      <c r="B99" s="100" t="s">
        <v>124</v>
      </c>
      <c r="C99" s="137">
        <f t="shared" si="91"/>
        <v>3.280664182963035E-11</v>
      </c>
      <c r="D99" s="102" t="s">
        <v>170</v>
      </c>
      <c r="E99" s="69">
        <f t="shared" si="92"/>
        <v>0.2555583950932788</v>
      </c>
      <c r="F99" s="104" t="s">
        <v>125</v>
      </c>
      <c r="G99" s="137">
        <f t="shared" si="93"/>
        <v>3.068475452196383</v>
      </c>
      <c r="H99" s="106" t="s">
        <v>126</v>
      </c>
      <c r="I99" s="69">
        <f t="shared" si="94"/>
        <v>0</v>
      </c>
      <c r="J99" s="104" t="s">
        <v>127</v>
      </c>
      <c r="K99" s="137">
        <f t="shared" si="95"/>
        <v>2.3255813953488373</v>
      </c>
      <c r="L99" s="106" t="s">
        <v>147</v>
      </c>
      <c r="M99" s="69">
        <f t="shared" si="88"/>
        <v>215.02148306259383</v>
      </c>
      <c r="N99" s="386" t="s">
        <v>187</v>
      </c>
      <c r="O99" s="148">
        <f t="shared" si="96"/>
        <v>220.67109830526516</v>
      </c>
      <c r="P99" s="266" t="s">
        <v>124</v>
      </c>
      <c r="Q99" s="198">
        <f t="shared" si="97"/>
        <v>3.280664182963035E-11</v>
      </c>
      <c r="R99" s="200" t="s">
        <v>258</v>
      </c>
      <c r="S99" s="198">
        <f t="shared" si="98"/>
        <v>3.068475452196383</v>
      </c>
      <c r="T99" s="197" t="s">
        <v>340</v>
      </c>
      <c r="U99" s="198">
        <f t="shared" si="89"/>
        <v>1.661129568106312</v>
      </c>
      <c r="V99" s="381" t="s">
        <v>289</v>
      </c>
      <c r="W99" s="201">
        <f t="shared" si="99"/>
        <v>220.00664647802262</v>
      </c>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row>
    <row r="100" spans="1:60" ht="12.75">
      <c r="A100" s="192" t="str">
        <f t="shared" si="90"/>
        <v>GW recirc in LLAZ &amp; MAAZ to 50 ug/L</v>
      </c>
      <c r="B100" s="100" t="s">
        <v>124</v>
      </c>
      <c r="C100" s="137">
        <f t="shared" si="91"/>
        <v>3.280664182963035E-11</v>
      </c>
      <c r="D100" s="102" t="s">
        <v>170</v>
      </c>
      <c r="E100" s="69">
        <f t="shared" si="92"/>
        <v>0.051111679018655765</v>
      </c>
      <c r="F100" s="104" t="s">
        <v>125</v>
      </c>
      <c r="G100" s="137">
        <f t="shared" si="93"/>
        <v>3.068475452196383</v>
      </c>
      <c r="H100" s="106" t="s">
        <v>126</v>
      </c>
      <c r="I100" s="69">
        <f t="shared" si="94"/>
        <v>0</v>
      </c>
      <c r="J100" s="104" t="s">
        <v>127</v>
      </c>
      <c r="K100" s="137">
        <f t="shared" si="95"/>
        <v>2.511627906976744</v>
      </c>
      <c r="L100" s="106" t="s">
        <v>147</v>
      </c>
      <c r="M100" s="69">
        <f t="shared" si="88"/>
        <v>44.862826857652315</v>
      </c>
      <c r="N100" s="386" t="s">
        <v>187</v>
      </c>
      <c r="O100" s="148">
        <f t="shared" si="96"/>
        <v>50.4940418958769</v>
      </c>
      <c r="P100" s="266" t="s">
        <v>124</v>
      </c>
      <c r="Q100" s="198">
        <f t="shared" si="97"/>
        <v>3.280664182963035E-11</v>
      </c>
      <c r="R100" s="200" t="s">
        <v>258</v>
      </c>
      <c r="S100" s="198">
        <f t="shared" si="98"/>
        <v>3.068475452196383</v>
      </c>
      <c r="T100" s="197" t="s">
        <v>340</v>
      </c>
      <c r="U100" s="198">
        <f t="shared" si="89"/>
        <v>1.794019933554817</v>
      </c>
      <c r="V100" s="381" t="s">
        <v>289</v>
      </c>
      <c r="W100" s="201">
        <f t="shared" si="99"/>
        <v>49.77643392245497</v>
      </c>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row>
    <row r="101" spans="1:60" ht="12.75">
      <c r="A101" s="192" t="str">
        <f t="shared" si="90"/>
        <v>ChemOx in LLAZ to 50 ug/L; GW recirc in MAAZ to 50 ug/L</v>
      </c>
      <c r="B101" s="100" t="s">
        <v>124</v>
      </c>
      <c r="C101" s="137">
        <f t="shared" si="91"/>
        <v>3.280664182963035E-11</v>
      </c>
      <c r="D101" s="102" t="s">
        <v>170</v>
      </c>
      <c r="E101" s="69">
        <f t="shared" si="92"/>
        <v>0.5111167901865576</v>
      </c>
      <c r="F101" s="104" t="s">
        <v>125</v>
      </c>
      <c r="G101" s="137">
        <f t="shared" si="93"/>
        <v>3.068475452196383</v>
      </c>
      <c r="H101" s="106" t="s">
        <v>126</v>
      </c>
      <c r="I101" s="69">
        <f t="shared" si="94"/>
        <v>0</v>
      </c>
      <c r="J101" s="104" t="s">
        <v>127</v>
      </c>
      <c r="K101" s="137">
        <f t="shared" si="95"/>
        <v>2.2325581395348837</v>
      </c>
      <c r="L101" s="106" t="s">
        <v>147</v>
      </c>
      <c r="M101" s="69">
        <f t="shared" si="88"/>
        <v>69.46598007751311</v>
      </c>
      <c r="N101" s="386" t="s">
        <v>187</v>
      </c>
      <c r="O101" s="148">
        <f t="shared" si="96"/>
        <v>75.27813045946375</v>
      </c>
      <c r="P101" s="266" t="s">
        <v>124</v>
      </c>
      <c r="Q101" s="198">
        <f t="shared" si="97"/>
        <v>3.280664182963035E-11</v>
      </c>
      <c r="R101" s="200" t="s">
        <v>258</v>
      </c>
      <c r="S101" s="198">
        <f t="shared" si="98"/>
        <v>3.068475452196383</v>
      </c>
      <c r="T101" s="197" t="s">
        <v>340</v>
      </c>
      <c r="U101" s="198">
        <f t="shared" si="89"/>
        <v>1.5946843853820596</v>
      </c>
      <c r="V101" s="381" t="s">
        <v>289</v>
      </c>
      <c r="W101" s="201">
        <f t="shared" si="99"/>
        <v>74.64025670531093</v>
      </c>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row>
    <row r="102" spans="1:60" ht="12.75">
      <c r="A102" s="192" t="str">
        <f t="shared" si="90"/>
        <v>PRB in LLAZ to 50 ug/L; GW recirc in MAAZ to 50 ug/L</v>
      </c>
      <c r="B102" s="100" t="s">
        <v>124</v>
      </c>
      <c r="C102" s="137">
        <f t="shared" si="91"/>
        <v>3.280664182963035E-11</v>
      </c>
      <c r="D102" s="102" t="s">
        <v>170</v>
      </c>
      <c r="E102" s="69">
        <f t="shared" si="92"/>
        <v>0.2555583950932788</v>
      </c>
      <c r="F102" s="104" t="s">
        <v>125</v>
      </c>
      <c r="G102" s="137">
        <f t="shared" si="93"/>
        <v>3.068475452196383</v>
      </c>
      <c r="H102" s="106" t="s">
        <v>126</v>
      </c>
      <c r="I102" s="69">
        <f t="shared" si="94"/>
        <v>0</v>
      </c>
      <c r="J102" s="104" t="s">
        <v>127</v>
      </c>
      <c r="K102" s="137">
        <f t="shared" si="95"/>
        <v>2.2325581395348837</v>
      </c>
      <c r="L102" s="106" t="s">
        <v>147</v>
      </c>
      <c r="M102" s="69">
        <f t="shared" si="88"/>
        <v>225.59447770481066</v>
      </c>
      <c r="N102" s="386" t="s">
        <v>187</v>
      </c>
      <c r="O102" s="148">
        <f t="shared" si="96"/>
        <v>231.15106969166803</v>
      </c>
      <c r="P102" s="266" t="s">
        <v>124</v>
      </c>
      <c r="Q102" s="198">
        <f t="shared" si="97"/>
        <v>3.280664182963035E-11</v>
      </c>
      <c r="R102" s="200" t="s">
        <v>258</v>
      </c>
      <c r="S102" s="198">
        <f t="shared" si="98"/>
        <v>3.068475452196383</v>
      </c>
      <c r="T102" s="197" t="s">
        <v>340</v>
      </c>
      <c r="U102" s="198">
        <f t="shared" si="89"/>
        <v>1.5946843853820596</v>
      </c>
      <c r="V102" s="381" t="s">
        <v>289</v>
      </c>
      <c r="W102" s="201">
        <f t="shared" si="99"/>
        <v>230.5131959375152</v>
      </c>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row>
    <row r="103" spans="1:60" ht="12.75">
      <c r="A103" s="192">
        <f t="shared" si="90"/>
      </c>
      <c r="B103" s="100" t="s">
        <v>124</v>
      </c>
      <c r="C103" s="137">
        <f t="shared" si="91"/>
        <v>0</v>
      </c>
      <c r="D103" s="102" t="s">
        <v>170</v>
      </c>
      <c r="E103" s="69">
        <f t="shared" si="92"/>
        <v>0</v>
      </c>
      <c r="F103" s="104" t="s">
        <v>125</v>
      </c>
      <c r="G103" s="137">
        <f t="shared" si="93"/>
        <v>0</v>
      </c>
      <c r="H103" s="106" t="s">
        <v>126</v>
      </c>
      <c r="I103" s="69">
        <f t="shared" si="94"/>
        <v>0</v>
      </c>
      <c r="J103" s="104" t="s">
        <v>127</v>
      </c>
      <c r="K103" s="137">
        <f t="shared" si="95"/>
        <v>0</v>
      </c>
      <c r="L103" s="106" t="s">
        <v>147</v>
      </c>
      <c r="M103" s="69">
        <f t="shared" si="88"/>
      </c>
      <c r="N103" s="386" t="s">
        <v>187</v>
      </c>
      <c r="O103" s="148">
        <f t="shared" si="96"/>
      </c>
      <c r="P103" s="266" t="s">
        <v>124</v>
      </c>
      <c r="Q103" s="198">
        <f t="shared" si="97"/>
        <v>0</v>
      </c>
      <c r="R103" s="200" t="s">
        <v>258</v>
      </c>
      <c r="S103" s="198">
        <f t="shared" si="98"/>
        <v>0</v>
      </c>
      <c r="T103" s="197" t="s">
        <v>340</v>
      </c>
      <c r="U103" s="198">
        <f t="shared" si="89"/>
        <v>0</v>
      </c>
      <c r="V103" s="381" t="s">
        <v>289</v>
      </c>
      <c r="W103" s="201">
        <f t="shared" si="99"/>
      </c>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row>
    <row r="104" spans="1:60" ht="12.75">
      <c r="A104" s="192">
        <f t="shared" si="90"/>
      </c>
      <c r="B104" s="100" t="s">
        <v>124</v>
      </c>
      <c r="C104" s="137">
        <f t="shared" si="91"/>
        <v>0</v>
      </c>
      <c r="D104" s="102" t="s">
        <v>170</v>
      </c>
      <c r="E104" s="69">
        <f t="shared" si="92"/>
        <v>0</v>
      </c>
      <c r="F104" s="104" t="s">
        <v>125</v>
      </c>
      <c r="G104" s="137">
        <f t="shared" si="93"/>
        <v>0</v>
      </c>
      <c r="H104" s="106" t="s">
        <v>126</v>
      </c>
      <c r="I104" s="69">
        <f t="shared" si="94"/>
        <v>0</v>
      </c>
      <c r="J104" s="104" t="s">
        <v>127</v>
      </c>
      <c r="K104" s="137">
        <f t="shared" si="95"/>
        <v>0</v>
      </c>
      <c r="L104" s="106" t="s">
        <v>147</v>
      </c>
      <c r="M104" s="69">
        <f aca="true" t="shared" si="100" ref="M104:M113">IF(A104="","",M82*M$93)</f>
      </c>
      <c r="N104" s="386" t="s">
        <v>187</v>
      </c>
      <c r="O104" s="148">
        <f t="shared" si="96"/>
      </c>
      <c r="P104" s="266" t="s">
        <v>124</v>
      </c>
      <c r="Q104" s="198">
        <f t="shared" si="97"/>
        <v>0</v>
      </c>
      <c r="R104" s="200" t="s">
        <v>258</v>
      </c>
      <c r="S104" s="198">
        <f t="shared" si="98"/>
        <v>0</v>
      </c>
      <c r="T104" s="197" t="s">
        <v>340</v>
      </c>
      <c r="U104" s="198">
        <f t="shared" si="89"/>
        <v>0</v>
      </c>
      <c r="V104" s="381" t="s">
        <v>289</v>
      </c>
      <c r="W104" s="201">
        <f t="shared" si="99"/>
      </c>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row>
    <row r="105" spans="1:60" ht="12.75">
      <c r="A105" s="192">
        <f t="shared" si="90"/>
      </c>
      <c r="B105" s="100" t="s">
        <v>124</v>
      </c>
      <c r="C105" s="137">
        <f t="shared" si="91"/>
        <v>0</v>
      </c>
      <c r="D105" s="102" t="s">
        <v>170</v>
      </c>
      <c r="E105" s="69">
        <f t="shared" si="92"/>
        <v>0</v>
      </c>
      <c r="F105" s="104" t="s">
        <v>125</v>
      </c>
      <c r="G105" s="137">
        <f t="shared" si="93"/>
        <v>0</v>
      </c>
      <c r="H105" s="106" t="s">
        <v>126</v>
      </c>
      <c r="I105" s="69">
        <f t="shared" si="94"/>
        <v>0</v>
      </c>
      <c r="J105" s="104" t="s">
        <v>127</v>
      </c>
      <c r="K105" s="137">
        <f t="shared" si="95"/>
        <v>0</v>
      </c>
      <c r="L105" s="106" t="s">
        <v>147</v>
      </c>
      <c r="M105" s="69">
        <f t="shared" si="100"/>
      </c>
      <c r="N105" s="386" t="s">
        <v>187</v>
      </c>
      <c r="O105" s="148">
        <f t="shared" si="96"/>
      </c>
      <c r="P105" s="266" t="s">
        <v>124</v>
      </c>
      <c r="Q105" s="198">
        <f t="shared" si="97"/>
        <v>0</v>
      </c>
      <c r="R105" s="200" t="s">
        <v>258</v>
      </c>
      <c r="S105" s="198">
        <f t="shared" si="98"/>
        <v>0</v>
      </c>
      <c r="T105" s="197" t="s">
        <v>340</v>
      </c>
      <c r="U105" s="198">
        <f t="shared" si="89"/>
        <v>0</v>
      </c>
      <c r="V105" s="381" t="s">
        <v>289</v>
      </c>
      <c r="W105" s="201">
        <f t="shared" si="99"/>
      </c>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row>
    <row r="106" spans="1:60" ht="12.75">
      <c r="A106" s="192">
        <f t="shared" si="90"/>
      </c>
      <c r="B106" s="100" t="s">
        <v>124</v>
      </c>
      <c r="C106" s="137">
        <f t="shared" si="91"/>
        <v>0</v>
      </c>
      <c r="D106" s="102" t="s">
        <v>170</v>
      </c>
      <c r="E106" s="69">
        <f t="shared" si="92"/>
        <v>0</v>
      </c>
      <c r="F106" s="104" t="s">
        <v>125</v>
      </c>
      <c r="G106" s="137">
        <f t="shared" si="93"/>
        <v>0</v>
      </c>
      <c r="H106" s="106" t="s">
        <v>126</v>
      </c>
      <c r="I106" s="69">
        <f t="shared" si="94"/>
        <v>0</v>
      </c>
      <c r="J106" s="104" t="s">
        <v>127</v>
      </c>
      <c r="K106" s="137">
        <f t="shared" si="95"/>
        <v>0</v>
      </c>
      <c r="L106" s="106" t="s">
        <v>147</v>
      </c>
      <c r="M106" s="69">
        <f t="shared" si="100"/>
      </c>
      <c r="N106" s="386" t="s">
        <v>187</v>
      </c>
      <c r="O106" s="148">
        <f t="shared" si="96"/>
      </c>
      <c r="P106" s="266" t="s">
        <v>124</v>
      </c>
      <c r="Q106" s="198">
        <f t="shared" si="97"/>
        <v>0</v>
      </c>
      <c r="R106" s="200" t="s">
        <v>258</v>
      </c>
      <c r="S106" s="198">
        <f t="shared" si="98"/>
        <v>0</v>
      </c>
      <c r="T106" s="197" t="s">
        <v>340</v>
      </c>
      <c r="U106" s="198">
        <f t="shared" si="89"/>
        <v>0</v>
      </c>
      <c r="V106" s="381" t="s">
        <v>289</v>
      </c>
      <c r="W106" s="201">
        <f t="shared" si="99"/>
      </c>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row>
    <row r="107" spans="1:60" ht="12.75">
      <c r="A107" s="192">
        <f t="shared" si="90"/>
      </c>
      <c r="B107" s="100" t="s">
        <v>124</v>
      </c>
      <c r="C107" s="137">
        <f t="shared" si="91"/>
        <v>0</v>
      </c>
      <c r="D107" s="102" t="s">
        <v>170</v>
      </c>
      <c r="E107" s="69">
        <f t="shared" si="92"/>
        <v>0</v>
      </c>
      <c r="F107" s="104" t="s">
        <v>125</v>
      </c>
      <c r="G107" s="137">
        <f t="shared" si="93"/>
        <v>0</v>
      </c>
      <c r="H107" s="106" t="s">
        <v>126</v>
      </c>
      <c r="I107" s="69">
        <f t="shared" si="94"/>
        <v>0</v>
      </c>
      <c r="J107" s="104" t="s">
        <v>127</v>
      </c>
      <c r="K107" s="137">
        <f t="shared" si="95"/>
        <v>0</v>
      </c>
      <c r="L107" s="106" t="s">
        <v>147</v>
      </c>
      <c r="M107" s="69">
        <f t="shared" si="100"/>
      </c>
      <c r="N107" s="386" t="s">
        <v>187</v>
      </c>
      <c r="O107" s="148">
        <f t="shared" si="96"/>
      </c>
      <c r="P107" s="266" t="s">
        <v>124</v>
      </c>
      <c r="Q107" s="198">
        <f t="shared" si="97"/>
        <v>0</v>
      </c>
      <c r="R107" s="200" t="s">
        <v>258</v>
      </c>
      <c r="S107" s="198">
        <f t="shared" si="98"/>
        <v>0</v>
      </c>
      <c r="T107" s="197" t="s">
        <v>340</v>
      </c>
      <c r="U107" s="198">
        <f t="shared" si="89"/>
        <v>0</v>
      </c>
      <c r="V107" s="381" t="s">
        <v>289</v>
      </c>
      <c r="W107" s="201">
        <f t="shared" si="99"/>
      </c>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row>
    <row r="108" spans="1:60" ht="12.75">
      <c r="A108" s="192">
        <f t="shared" si="90"/>
      </c>
      <c r="B108" s="100" t="s">
        <v>124</v>
      </c>
      <c r="C108" s="137">
        <f t="shared" si="91"/>
        <v>0</v>
      </c>
      <c r="D108" s="102" t="s">
        <v>170</v>
      </c>
      <c r="E108" s="69">
        <f t="shared" si="92"/>
        <v>0</v>
      </c>
      <c r="F108" s="104" t="s">
        <v>125</v>
      </c>
      <c r="G108" s="137">
        <f t="shared" si="93"/>
        <v>0</v>
      </c>
      <c r="H108" s="106" t="s">
        <v>126</v>
      </c>
      <c r="I108" s="69">
        <f t="shared" si="94"/>
        <v>0</v>
      </c>
      <c r="J108" s="104" t="s">
        <v>127</v>
      </c>
      <c r="K108" s="137">
        <f t="shared" si="95"/>
        <v>0</v>
      </c>
      <c r="L108" s="106" t="s">
        <v>147</v>
      </c>
      <c r="M108" s="69">
        <f t="shared" si="100"/>
      </c>
      <c r="N108" s="386" t="s">
        <v>187</v>
      </c>
      <c r="O108" s="148">
        <f t="shared" si="96"/>
      </c>
      <c r="P108" s="266" t="s">
        <v>124</v>
      </c>
      <c r="Q108" s="198">
        <f t="shared" si="97"/>
        <v>0</v>
      </c>
      <c r="R108" s="200" t="s">
        <v>258</v>
      </c>
      <c r="S108" s="198">
        <f t="shared" si="98"/>
        <v>0</v>
      </c>
      <c r="T108" s="197" t="s">
        <v>340</v>
      </c>
      <c r="U108" s="198">
        <f t="shared" si="89"/>
        <v>0</v>
      </c>
      <c r="V108" s="381" t="s">
        <v>289</v>
      </c>
      <c r="W108" s="201">
        <f t="shared" si="99"/>
      </c>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row>
    <row r="109" spans="1:60" ht="12.75">
      <c r="A109" s="192">
        <f t="shared" si="90"/>
      </c>
      <c r="B109" s="100" t="s">
        <v>124</v>
      </c>
      <c r="C109" s="137">
        <f t="shared" si="91"/>
        <v>0</v>
      </c>
      <c r="D109" s="102" t="s">
        <v>170</v>
      </c>
      <c r="E109" s="69">
        <f t="shared" si="92"/>
        <v>0</v>
      </c>
      <c r="F109" s="104" t="s">
        <v>125</v>
      </c>
      <c r="G109" s="137">
        <f t="shared" si="93"/>
        <v>0</v>
      </c>
      <c r="H109" s="106" t="s">
        <v>126</v>
      </c>
      <c r="I109" s="69">
        <f t="shared" si="94"/>
        <v>0</v>
      </c>
      <c r="J109" s="104" t="s">
        <v>127</v>
      </c>
      <c r="K109" s="137">
        <f t="shared" si="95"/>
        <v>0</v>
      </c>
      <c r="L109" s="106" t="s">
        <v>147</v>
      </c>
      <c r="M109" s="69">
        <f t="shared" si="100"/>
      </c>
      <c r="N109" s="386" t="s">
        <v>187</v>
      </c>
      <c r="O109" s="148">
        <f t="shared" si="96"/>
      </c>
      <c r="P109" s="266" t="s">
        <v>124</v>
      </c>
      <c r="Q109" s="198">
        <f t="shared" si="97"/>
        <v>0</v>
      </c>
      <c r="R109" s="200" t="s">
        <v>258</v>
      </c>
      <c r="S109" s="198">
        <f t="shared" si="98"/>
        <v>0</v>
      </c>
      <c r="T109" s="197" t="s">
        <v>340</v>
      </c>
      <c r="U109" s="198">
        <f t="shared" si="89"/>
        <v>0</v>
      </c>
      <c r="V109" s="381" t="s">
        <v>289</v>
      </c>
      <c r="W109" s="201">
        <f t="shared" si="99"/>
      </c>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row>
    <row r="110" spans="1:60" ht="12.75">
      <c r="A110" s="192">
        <f t="shared" si="90"/>
      </c>
      <c r="B110" s="100" t="s">
        <v>124</v>
      </c>
      <c r="C110" s="137">
        <f t="shared" si="91"/>
        <v>0</v>
      </c>
      <c r="D110" s="102" t="s">
        <v>170</v>
      </c>
      <c r="E110" s="69">
        <f t="shared" si="92"/>
        <v>0</v>
      </c>
      <c r="F110" s="104" t="s">
        <v>125</v>
      </c>
      <c r="G110" s="137">
        <f t="shared" si="93"/>
        <v>0</v>
      </c>
      <c r="H110" s="106" t="s">
        <v>126</v>
      </c>
      <c r="I110" s="69">
        <f t="shared" si="94"/>
        <v>0</v>
      </c>
      <c r="J110" s="104" t="s">
        <v>127</v>
      </c>
      <c r="K110" s="137">
        <f t="shared" si="95"/>
        <v>0</v>
      </c>
      <c r="L110" s="106" t="s">
        <v>147</v>
      </c>
      <c r="M110" s="69">
        <f t="shared" si="100"/>
      </c>
      <c r="N110" s="386" t="s">
        <v>187</v>
      </c>
      <c r="O110" s="148">
        <f t="shared" si="96"/>
      </c>
      <c r="P110" s="266" t="s">
        <v>124</v>
      </c>
      <c r="Q110" s="198">
        <f t="shared" si="97"/>
        <v>0</v>
      </c>
      <c r="R110" s="200" t="s">
        <v>258</v>
      </c>
      <c r="S110" s="198">
        <f t="shared" si="98"/>
        <v>0</v>
      </c>
      <c r="T110" s="197" t="s">
        <v>340</v>
      </c>
      <c r="U110" s="198">
        <f t="shared" si="89"/>
        <v>0</v>
      </c>
      <c r="V110" s="381" t="s">
        <v>289</v>
      </c>
      <c r="W110" s="201">
        <f t="shared" si="99"/>
      </c>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row>
    <row r="111" spans="1:60" ht="12.75">
      <c r="A111" s="192">
        <f t="shared" si="90"/>
      </c>
      <c r="B111" s="100" t="s">
        <v>124</v>
      </c>
      <c r="C111" s="137">
        <f t="shared" si="91"/>
        <v>0</v>
      </c>
      <c r="D111" s="102" t="s">
        <v>170</v>
      </c>
      <c r="E111" s="69">
        <f t="shared" si="92"/>
        <v>0</v>
      </c>
      <c r="F111" s="104" t="s">
        <v>125</v>
      </c>
      <c r="G111" s="137">
        <f t="shared" si="93"/>
        <v>0</v>
      </c>
      <c r="H111" s="106" t="s">
        <v>126</v>
      </c>
      <c r="I111" s="69">
        <f t="shared" si="94"/>
        <v>0</v>
      </c>
      <c r="J111" s="104" t="s">
        <v>127</v>
      </c>
      <c r="K111" s="137">
        <f t="shared" si="95"/>
        <v>0</v>
      </c>
      <c r="L111" s="106" t="s">
        <v>147</v>
      </c>
      <c r="M111" s="69">
        <f t="shared" si="100"/>
      </c>
      <c r="N111" s="386" t="s">
        <v>187</v>
      </c>
      <c r="O111" s="148">
        <f t="shared" si="96"/>
      </c>
      <c r="P111" s="266" t="s">
        <v>124</v>
      </c>
      <c r="Q111" s="198">
        <f t="shared" si="97"/>
        <v>0</v>
      </c>
      <c r="R111" s="200" t="s">
        <v>258</v>
      </c>
      <c r="S111" s="198">
        <f t="shared" si="98"/>
        <v>0</v>
      </c>
      <c r="T111" s="197" t="s">
        <v>340</v>
      </c>
      <c r="U111" s="198">
        <f t="shared" si="89"/>
        <v>0</v>
      </c>
      <c r="V111" s="381" t="s">
        <v>289</v>
      </c>
      <c r="W111" s="201">
        <f t="shared" si="99"/>
      </c>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row>
    <row r="112" spans="1:60" ht="12.75">
      <c r="A112" s="192">
        <f t="shared" si="90"/>
      </c>
      <c r="B112" s="100" t="s">
        <v>124</v>
      </c>
      <c r="C112" s="137">
        <f t="shared" si="91"/>
        <v>0</v>
      </c>
      <c r="D112" s="102" t="s">
        <v>170</v>
      </c>
      <c r="E112" s="69">
        <f t="shared" si="92"/>
        <v>0</v>
      </c>
      <c r="F112" s="104" t="s">
        <v>125</v>
      </c>
      <c r="G112" s="137">
        <f t="shared" si="93"/>
        <v>0</v>
      </c>
      <c r="H112" s="106" t="s">
        <v>126</v>
      </c>
      <c r="I112" s="69">
        <f t="shared" si="94"/>
        <v>0</v>
      </c>
      <c r="J112" s="104" t="s">
        <v>127</v>
      </c>
      <c r="K112" s="137">
        <f t="shared" si="95"/>
        <v>0</v>
      </c>
      <c r="L112" s="106" t="s">
        <v>147</v>
      </c>
      <c r="M112" s="69">
        <f t="shared" si="100"/>
      </c>
      <c r="N112" s="386" t="s">
        <v>187</v>
      </c>
      <c r="O112" s="148">
        <f t="shared" si="96"/>
      </c>
      <c r="P112" s="266" t="s">
        <v>124</v>
      </c>
      <c r="Q112" s="198">
        <f t="shared" si="97"/>
        <v>0</v>
      </c>
      <c r="R112" s="200" t="s">
        <v>258</v>
      </c>
      <c r="S112" s="198">
        <f t="shared" si="98"/>
        <v>0</v>
      </c>
      <c r="T112" s="197" t="s">
        <v>340</v>
      </c>
      <c r="U112" s="198">
        <f t="shared" si="89"/>
        <v>0</v>
      </c>
      <c r="V112" s="381" t="s">
        <v>289</v>
      </c>
      <c r="W112" s="201">
        <f t="shared" si="99"/>
      </c>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row>
    <row r="113" spans="1:60" ht="12.75">
      <c r="A113" s="192">
        <f t="shared" si="90"/>
      </c>
      <c r="B113" s="101" t="s">
        <v>124</v>
      </c>
      <c r="C113" s="138">
        <f t="shared" si="91"/>
        <v>0</v>
      </c>
      <c r="D113" s="103" t="s">
        <v>170</v>
      </c>
      <c r="E113" s="130">
        <f t="shared" si="92"/>
        <v>0</v>
      </c>
      <c r="F113" s="105" t="s">
        <v>125</v>
      </c>
      <c r="G113" s="138">
        <f t="shared" si="93"/>
        <v>0</v>
      </c>
      <c r="H113" s="107" t="s">
        <v>126</v>
      </c>
      <c r="I113" s="130">
        <f t="shared" si="94"/>
        <v>0</v>
      </c>
      <c r="J113" s="105" t="s">
        <v>127</v>
      </c>
      <c r="K113" s="138">
        <f t="shared" si="95"/>
        <v>0</v>
      </c>
      <c r="L113" s="107" t="s">
        <v>147</v>
      </c>
      <c r="M113" s="69">
        <f t="shared" si="100"/>
      </c>
      <c r="N113" s="387" t="s">
        <v>187</v>
      </c>
      <c r="O113" s="148">
        <f t="shared" si="96"/>
      </c>
      <c r="P113" s="267" t="s">
        <v>124</v>
      </c>
      <c r="Q113" s="369">
        <f t="shared" si="97"/>
        <v>0</v>
      </c>
      <c r="R113" s="368" t="s">
        <v>258</v>
      </c>
      <c r="S113" s="369">
        <f t="shared" si="98"/>
        <v>0</v>
      </c>
      <c r="T113" s="382" t="s">
        <v>340</v>
      </c>
      <c r="U113" s="369">
        <f t="shared" si="89"/>
        <v>0</v>
      </c>
      <c r="V113" s="383" t="s">
        <v>289</v>
      </c>
      <c r="W113" s="201">
        <f t="shared" si="99"/>
      </c>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row>
    <row r="114" spans="1:60" ht="12.75">
      <c r="A114" s="82"/>
      <c r="B114" s="83"/>
      <c r="C114" s="84"/>
      <c r="D114" s="84"/>
      <c r="E114" s="84"/>
      <c r="F114" s="85"/>
      <c r="G114" s="86"/>
      <c r="H114" s="85"/>
      <c r="I114" s="86"/>
      <c r="J114" s="85"/>
      <c r="K114" s="86"/>
      <c r="L114" s="85"/>
      <c r="M114" s="86"/>
      <c r="N114" s="85"/>
      <c r="O114" s="86"/>
      <c r="P114" s="87"/>
      <c r="Q114" s="87"/>
      <c r="R114"/>
      <c r="S114"/>
      <c r="T114"/>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row>
    <row r="115" spans="1:60" ht="12.75">
      <c r="A115" s="111" t="s">
        <v>190</v>
      </c>
      <c r="B115" s="115" t="str">
        <f>B93</f>
        <v>Wh</v>
      </c>
      <c r="C115" s="136">
        <f>'Weights-options'!$G$15</f>
        <v>0.41003772347055933</v>
      </c>
      <c r="D115" s="115" t="s">
        <v>181</v>
      </c>
      <c r="E115" s="136">
        <f>'Weights-options'!$G$16</f>
        <v>0.41003772347055933</v>
      </c>
      <c r="F115" s="115" t="str">
        <f>F93</f>
        <v>We</v>
      </c>
      <c r="G115" s="136">
        <f>'Weights-options'!$G$17</f>
        <v>0.8291873963515756</v>
      </c>
      <c r="H115" s="115" t="str">
        <f>H93</f>
        <v>Wrr</v>
      </c>
      <c r="I115" s="136">
        <f>'Weights-options'!$G$18</f>
        <v>0.014925373134328358</v>
      </c>
      <c r="J115" s="97" t="s">
        <v>184</v>
      </c>
      <c r="K115" s="136">
        <f>'Weights-options'!$G$19</f>
        <v>0.07462686567164178</v>
      </c>
      <c r="L115" s="97" t="s">
        <v>185</v>
      </c>
      <c r="M115" s="136">
        <f>'Weights-options'!$G$20</f>
        <v>0.03731343283582089</v>
      </c>
      <c r="N115" s="118" t="s">
        <v>261</v>
      </c>
      <c r="O115" s="109"/>
      <c r="P115" s="115" t="str">
        <f>P93</f>
        <v>Wh</v>
      </c>
      <c r="Q115" s="136">
        <f>'Weights-options'!$G$15</f>
        <v>0.41003772347055933</v>
      </c>
      <c r="R115" s="97" t="s">
        <v>182</v>
      </c>
      <c r="S115" s="388">
        <f>'Weights-options'!$G$17</f>
        <v>0.8291873963515756</v>
      </c>
      <c r="T115" s="97" t="s">
        <v>184</v>
      </c>
      <c r="U115" s="136">
        <f>'Weights-options'!$G$19</f>
        <v>0.07462686567164178</v>
      </c>
      <c r="V115" s="118" t="s">
        <v>342</v>
      </c>
      <c r="W115" s="392"/>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row>
    <row r="116" spans="1:60" ht="12.75">
      <c r="A116" s="113" t="str">
        <f>A94</f>
        <v>No action</v>
      </c>
      <c r="B116" s="100" t="str">
        <f>B94</f>
        <v>V(Public Health &amp; Safety)</v>
      </c>
      <c r="C116" s="137">
        <f>C72*C$115</f>
        <v>0.00026318761169293005</v>
      </c>
      <c r="D116" s="102" t="str">
        <f>D94</f>
        <v>V(Worker Safety) </v>
      </c>
      <c r="E116" s="69">
        <f>E72*E$115</f>
        <v>0</v>
      </c>
      <c r="F116" s="104" t="str">
        <f>F94</f>
        <v>V(Env. impact) </v>
      </c>
      <c r="G116" s="137">
        <f>G72*G$115</f>
        <v>9.84660033167496</v>
      </c>
      <c r="H116" s="106" t="str">
        <f>H94</f>
        <v>V(Reg. resposniveness)</v>
      </c>
      <c r="I116" s="69">
        <f>I72*I$115</f>
        <v>14925373.134328358</v>
      </c>
      <c r="J116" s="104" t="str">
        <f>J94</f>
        <v>V(Time to complete)</v>
      </c>
      <c r="K116" s="137">
        <f>K72*K$115</f>
        <v>0.6417910447761194</v>
      </c>
      <c r="L116" s="106" t="str">
        <f>L94</f>
        <v>V(Total cost)</v>
      </c>
      <c r="M116" s="69">
        <f>IF(A116="","",M72*M$115)</f>
        <v>0</v>
      </c>
      <c r="N116" s="385" t="s">
        <v>348</v>
      </c>
      <c r="O116" s="148">
        <f aca="true" t="shared" si="101" ref="O116:O125">IF(A116="","",M116+K116+I116+G116+E116+C116)</f>
        <v>14925383.622982923</v>
      </c>
      <c r="P116" s="371" t="s">
        <v>343</v>
      </c>
      <c r="Q116" s="198">
        <f>Q72*Q$115</f>
        <v>0.00026318761169293005</v>
      </c>
      <c r="R116" s="363" t="str">
        <f>R94</f>
        <v>V(Env impact) 
(user-specified)</v>
      </c>
      <c r="S116" s="198">
        <f aca="true" t="shared" si="102" ref="S116:S135">S72*S$115</f>
        <v>9.84660033167496</v>
      </c>
      <c r="T116" s="363" t="s">
        <v>344</v>
      </c>
      <c r="U116" s="198">
        <f>U72*U$115</f>
        <v>0.4584221748400852</v>
      </c>
      <c r="V116" s="380" t="s">
        <v>359</v>
      </c>
      <c r="W116" s="393">
        <f>IF(A116="","",M116+U116+I116+S116+E116+Q116)</f>
        <v>14925383.439614052</v>
      </c>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row>
    <row r="117" spans="1:60" ht="12.75">
      <c r="A117" s="192" t="str">
        <f aca="true" t="shared" si="103" ref="A117:A135">A95</f>
        <v>MNA in MAAZ &amp; LLAZ</v>
      </c>
      <c r="B117" s="100" t="s">
        <v>124</v>
      </c>
      <c r="C117" s="137">
        <f aca="true" t="shared" si="104" ref="C117:C135">C73*C$115</f>
        <v>5.2637522338586E-10</v>
      </c>
      <c r="D117" s="102" t="s">
        <v>170</v>
      </c>
      <c r="E117" s="69">
        <f aca="true" t="shared" si="105" ref="E117:E135">E73*E$115</f>
        <v>0.008200754469411186</v>
      </c>
      <c r="F117" s="104" t="s">
        <v>125</v>
      </c>
      <c r="G117" s="137">
        <f aca="true" t="shared" si="106" ref="G117:G135">G73*G$115</f>
        <v>9.84660033167496</v>
      </c>
      <c r="H117" s="106" t="s">
        <v>126</v>
      </c>
      <c r="I117" s="69">
        <f aca="true" t="shared" si="107" ref="I117:I135">I73*I$115</f>
        <v>0.8955223880597015</v>
      </c>
      <c r="J117" s="104" t="s">
        <v>127</v>
      </c>
      <c r="K117" s="137">
        <f aca="true" t="shared" si="108" ref="K117:K135">K73*K$115</f>
        <v>0.6417910447761194</v>
      </c>
      <c r="L117" s="106" t="s">
        <v>147</v>
      </c>
      <c r="M117" s="69">
        <f aca="true" t="shared" si="109" ref="M117:M135">IF(A117="","",M73*M$115)</f>
        <v>2.77817231750131</v>
      </c>
      <c r="N117" s="386" t="s">
        <v>187</v>
      </c>
      <c r="O117" s="148">
        <f t="shared" si="101"/>
        <v>14.170286837007879</v>
      </c>
      <c r="P117" s="266" t="s">
        <v>124</v>
      </c>
      <c r="Q117" s="198">
        <f aca="true" t="shared" si="110" ref="Q117:Q135">Q73*Q$115</f>
        <v>5.2637522338586E-10</v>
      </c>
      <c r="R117" s="200" t="s">
        <v>258</v>
      </c>
      <c r="S117" s="198">
        <f t="shared" si="102"/>
        <v>9.84660033167496</v>
      </c>
      <c r="T117" s="197" t="s">
        <v>340</v>
      </c>
      <c r="U117" s="198">
        <f aca="true" t="shared" si="111" ref="U117:U135">U73*U$115</f>
        <v>0.4584221748400852</v>
      </c>
      <c r="V117" s="381" t="s">
        <v>289</v>
      </c>
      <c r="W117" s="393">
        <f aca="true" t="shared" si="112" ref="W117:W135">IF(A117="","",M117+U117+I117+S117+E117+Q117)</f>
        <v>13.986917967071843</v>
      </c>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row>
    <row r="118" spans="1:60" ht="12.75">
      <c r="A118" s="192" t="str">
        <f t="shared" si="103"/>
        <v>Operate existing gw recirc wells to 50 ug/L; MNA in residual</v>
      </c>
      <c r="B118" s="100" t="s">
        <v>124</v>
      </c>
      <c r="C118" s="137">
        <f t="shared" si="104"/>
        <v>5.2637522338586E-10</v>
      </c>
      <c r="D118" s="102" t="s">
        <v>170</v>
      </c>
      <c r="E118" s="69">
        <f t="shared" si="105"/>
        <v>0.008200754469411186</v>
      </c>
      <c r="F118" s="104" t="s">
        <v>125</v>
      </c>
      <c r="G118" s="137">
        <f t="shared" si="106"/>
        <v>4.92330016583748</v>
      </c>
      <c r="H118" s="106" t="s">
        <v>126</v>
      </c>
      <c r="I118" s="69">
        <f t="shared" si="107"/>
        <v>0.44776119402985076</v>
      </c>
      <c r="J118" s="104" t="s">
        <v>127</v>
      </c>
      <c r="K118" s="137">
        <f t="shared" si="108"/>
        <v>0.4477611940298507</v>
      </c>
      <c r="L118" s="106" t="s">
        <v>147</v>
      </c>
      <c r="M118" s="69">
        <f t="shared" si="109"/>
        <v>4.412631089974939</v>
      </c>
      <c r="N118" s="386" t="s">
        <v>187</v>
      </c>
      <c r="O118" s="148">
        <f t="shared" si="101"/>
        <v>10.239654398867907</v>
      </c>
      <c r="P118" s="266" t="s">
        <v>124</v>
      </c>
      <c r="Q118" s="198">
        <f t="shared" si="110"/>
        <v>5.2637522338586E-10</v>
      </c>
      <c r="R118" s="200" t="s">
        <v>258</v>
      </c>
      <c r="S118" s="198">
        <f t="shared" si="102"/>
        <v>4.92330016583748</v>
      </c>
      <c r="T118" s="197" t="s">
        <v>340</v>
      </c>
      <c r="U118" s="198">
        <f t="shared" si="111"/>
        <v>0.3198294243070362</v>
      </c>
      <c r="V118" s="381" t="s">
        <v>289</v>
      </c>
      <c r="W118" s="393">
        <f t="shared" si="112"/>
        <v>10.111722629145092</v>
      </c>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row>
    <row r="119" spans="1:60" ht="12.75">
      <c r="A119" s="192" t="str">
        <f t="shared" si="103"/>
        <v>GW recirc in LLAZ to 50 ug/L; MNA in MAAZ</v>
      </c>
      <c r="B119" s="100" t="s">
        <v>124</v>
      </c>
      <c r="C119" s="137">
        <f t="shared" si="104"/>
        <v>5.2637522338586004E-11</v>
      </c>
      <c r="D119" s="102" t="s">
        <v>170</v>
      </c>
      <c r="E119" s="69">
        <f t="shared" si="105"/>
        <v>0.08200754469411187</v>
      </c>
      <c r="F119" s="104" t="s">
        <v>125</v>
      </c>
      <c r="G119" s="137">
        <f t="shared" si="106"/>
        <v>4.92330016583748</v>
      </c>
      <c r="H119" s="106" t="s">
        <v>126</v>
      </c>
      <c r="I119" s="69">
        <f t="shared" si="107"/>
        <v>0</v>
      </c>
      <c r="J119" s="104" t="s">
        <v>127</v>
      </c>
      <c r="K119" s="137">
        <f t="shared" si="108"/>
        <v>0.4477611940298507</v>
      </c>
      <c r="L119" s="106" t="s">
        <v>147</v>
      </c>
      <c r="M119" s="69">
        <f t="shared" si="109"/>
        <v>5.893018686389956</v>
      </c>
      <c r="N119" s="386" t="s">
        <v>187</v>
      </c>
      <c r="O119" s="148">
        <f t="shared" si="101"/>
        <v>11.346087591004036</v>
      </c>
      <c r="P119" s="266" t="s">
        <v>124</v>
      </c>
      <c r="Q119" s="198">
        <f t="shared" si="110"/>
        <v>5.2637522338586004E-11</v>
      </c>
      <c r="R119" s="200" t="s">
        <v>258</v>
      </c>
      <c r="S119" s="198">
        <f t="shared" si="102"/>
        <v>4.92330016583748</v>
      </c>
      <c r="T119" s="197" t="s">
        <v>340</v>
      </c>
      <c r="U119" s="198">
        <f t="shared" si="111"/>
        <v>0.3198294243070362</v>
      </c>
      <c r="V119" s="381" t="s">
        <v>289</v>
      </c>
      <c r="W119" s="393">
        <f t="shared" si="112"/>
        <v>11.21815582128122</v>
      </c>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row>
    <row r="120" spans="1:60" ht="12.75">
      <c r="A120" s="192" t="str">
        <f t="shared" si="103"/>
        <v>ChemOx in LLAZ to 50 ug/L; MNA in MAAZ</v>
      </c>
      <c r="B120" s="100" t="s">
        <v>124</v>
      </c>
      <c r="C120" s="137">
        <f t="shared" si="104"/>
        <v>5.2637522338586004E-11</v>
      </c>
      <c r="D120" s="102" t="s">
        <v>170</v>
      </c>
      <c r="E120" s="69">
        <f t="shared" si="105"/>
        <v>0.8200754469411187</v>
      </c>
      <c r="F120" s="104" t="s">
        <v>125</v>
      </c>
      <c r="G120" s="137">
        <f t="shared" si="106"/>
        <v>4.92330016583748</v>
      </c>
      <c r="H120" s="106" t="s">
        <v>126</v>
      </c>
      <c r="I120" s="69">
        <f t="shared" si="107"/>
        <v>0</v>
      </c>
      <c r="J120" s="104" t="s">
        <v>127</v>
      </c>
      <c r="K120" s="137">
        <f t="shared" si="108"/>
        <v>0.3731343283582089</v>
      </c>
      <c r="L120" s="106" t="s">
        <v>147</v>
      </c>
      <c r="M120" s="69">
        <f t="shared" si="109"/>
        <v>9.832740757938025</v>
      </c>
      <c r="N120" s="386" t="s">
        <v>187</v>
      </c>
      <c r="O120" s="148">
        <f t="shared" si="101"/>
        <v>15.949250699127468</v>
      </c>
      <c r="P120" s="266" t="s">
        <v>124</v>
      </c>
      <c r="Q120" s="198">
        <f t="shared" si="110"/>
        <v>5.2637522338586004E-11</v>
      </c>
      <c r="R120" s="200" t="s">
        <v>258</v>
      </c>
      <c r="S120" s="198">
        <f t="shared" si="102"/>
        <v>4.92330016583748</v>
      </c>
      <c r="T120" s="197" t="s">
        <v>340</v>
      </c>
      <c r="U120" s="198">
        <f t="shared" si="111"/>
        <v>0.2665245202558635</v>
      </c>
      <c r="V120" s="381" t="s">
        <v>289</v>
      </c>
      <c r="W120" s="393">
        <f t="shared" si="112"/>
        <v>15.842640891025123</v>
      </c>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row>
    <row r="121" spans="1:60" ht="12.75">
      <c r="A121" s="192" t="str">
        <f t="shared" si="103"/>
        <v>PRB in LLAZ to 50 ug/L; MNA in MAAZ</v>
      </c>
      <c r="B121" s="100" t="s">
        <v>124</v>
      </c>
      <c r="C121" s="137">
        <f t="shared" si="104"/>
        <v>5.2637522338586004E-11</v>
      </c>
      <c r="D121" s="102" t="s">
        <v>170</v>
      </c>
      <c r="E121" s="69">
        <f t="shared" si="105"/>
        <v>0.41003772347055933</v>
      </c>
      <c r="F121" s="104" t="s">
        <v>125</v>
      </c>
      <c r="G121" s="137">
        <f t="shared" si="106"/>
        <v>4.92330016583748</v>
      </c>
      <c r="H121" s="106" t="s">
        <v>126</v>
      </c>
      <c r="I121" s="69">
        <f t="shared" si="107"/>
        <v>0</v>
      </c>
      <c r="J121" s="104" t="s">
        <v>127</v>
      </c>
      <c r="K121" s="137">
        <f t="shared" si="108"/>
        <v>0.3731343283582089</v>
      </c>
      <c r="L121" s="106" t="s">
        <v>147</v>
      </c>
      <c r="M121" s="69">
        <f t="shared" si="109"/>
        <v>34.49971556601319</v>
      </c>
      <c r="N121" s="386" t="s">
        <v>187</v>
      </c>
      <c r="O121" s="148">
        <f t="shared" si="101"/>
        <v>40.20618778373208</v>
      </c>
      <c r="P121" s="266" t="s">
        <v>124</v>
      </c>
      <c r="Q121" s="198">
        <f t="shared" si="110"/>
        <v>5.2637522338586004E-11</v>
      </c>
      <c r="R121" s="200" t="s">
        <v>258</v>
      </c>
      <c r="S121" s="198">
        <f t="shared" si="102"/>
        <v>4.92330016583748</v>
      </c>
      <c r="T121" s="197" t="s">
        <v>340</v>
      </c>
      <c r="U121" s="198">
        <f t="shared" si="111"/>
        <v>0.2665245202558635</v>
      </c>
      <c r="V121" s="381" t="s">
        <v>289</v>
      </c>
      <c r="W121" s="393">
        <f t="shared" si="112"/>
        <v>40.09957797562973</v>
      </c>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2.75">
      <c r="A122" s="192" t="str">
        <f t="shared" si="103"/>
        <v>GW recirc in LLAZ &amp; MAAZ to 50 ug/L</v>
      </c>
      <c r="B122" s="100" t="s">
        <v>124</v>
      </c>
      <c r="C122" s="137">
        <f t="shared" si="104"/>
        <v>5.2637522338586004E-11</v>
      </c>
      <c r="D122" s="102" t="s">
        <v>170</v>
      </c>
      <c r="E122" s="69">
        <f t="shared" si="105"/>
        <v>0.08200754469411187</v>
      </c>
      <c r="F122" s="104" t="s">
        <v>125</v>
      </c>
      <c r="G122" s="137">
        <f t="shared" si="106"/>
        <v>4.92330016583748</v>
      </c>
      <c r="H122" s="106" t="s">
        <v>126</v>
      </c>
      <c r="I122" s="69">
        <f t="shared" si="107"/>
        <v>0</v>
      </c>
      <c r="J122" s="104" t="s">
        <v>127</v>
      </c>
      <c r="K122" s="137">
        <f t="shared" si="108"/>
        <v>0.40298507462686567</v>
      </c>
      <c r="L122" s="106" t="s">
        <v>147</v>
      </c>
      <c r="M122" s="69">
        <f t="shared" si="109"/>
        <v>7.198140130145706</v>
      </c>
      <c r="N122" s="386" t="s">
        <v>187</v>
      </c>
      <c r="O122" s="148">
        <f t="shared" si="101"/>
        <v>12.6064329153568</v>
      </c>
      <c r="P122" s="266" t="s">
        <v>124</v>
      </c>
      <c r="Q122" s="198">
        <f t="shared" si="110"/>
        <v>5.2637522338586004E-11</v>
      </c>
      <c r="R122" s="200" t="s">
        <v>258</v>
      </c>
      <c r="S122" s="198">
        <f t="shared" si="102"/>
        <v>4.92330016583748</v>
      </c>
      <c r="T122" s="197" t="s">
        <v>340</v>
      </c>
      <c r="U122" s="198">
        <f t="shared" si="111"/>
        <v>0.28784648187633255</v>
      </c>
      <c r="V122" s="381" t="s">
        <v>289</v>
      </c>
      <c r="W122" s="393">
        <f t="shared" si="112"/>
        <v>12.491294322606267</v>
      </c>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2.75">
      <c r="A123" s="192" t="str">
        <f t="shared" si="103"/>
        <v>ChemOx in LLAZ to 50 ug/L; GW recirc in MAAZ to 50 ug/L</v>
      </c>
      <c r="B123" s="100" t="s">
        <v>124</v>
      </c>
      <c r="C123" s="137">
        <f t="shared" si="104"/>
        <v>5.2637522338586004E-11</v>
      </c>
      <c r="D123" s="102" t="s">
        <v>170</v>
      </c>
      <c r="E123" s="69">
        <f t="shared" si="105"/>
        <v>0.8200754469411187</v>
      </c>
      <c r="F123" s="104" t="s">
        <v>125</v>
      </c>
      <c r="G123" s="137">
        <f t="shared" si="106"/>
        <v>4.92330016583748</v>
      </c>
      <c r="H123" s="106" t="s">
        <v>126</v>
      </c>
      <c r="I123" s="69">
        <f t="shared" si="107"/>
        <v>0</v>
      </c>
      <c r="J123" s="104" t="s">
        <v>127</v>
      </c>
      <c r="K123" s="137">
        <f t="shared" si="108"/>
        <v>0.3582089552238806</v>
      </c>
      <c r="L123" s="106" t="s">
        <v>147</v>
      </c>
      <c r="M123" s="69">
        <f t="shared" si="109"/>
        <v>11.145660982586058</v>
      </c>
      <c r="N123" s="386" t="s">
        <v>187</v>
      </c>
      <c r="O123" s="148">
        <f t="shared" si="101"/>
        <v>17.247245550641175</v>
      </c>
      <c r="P123" s="266" t="s">
        <v>124</v>
      </c>
      <c r="Q123" s="198">
        <f t="shared" si="110"/>
        <v>5.2637522338586004E-11</v>
      </c>
      <c r="R123" s="200" t="s">
        <v>258</v>
      </c>
      <c r="S123" s="198">
        <f t="shared" si="102"/>
        <v>4.92330016583748</v>
      </c>
      <c r="T123" s="197" t="s">
        <v>340</v>
      </c>
      <c r="U123" s="198">
        <f t="shared" si="111"/>
        <v>0.25586353944562895</v>
      </c>
      <c r="V123" s="381" t="s">
        <v>289</v>
      </c>
      <c r="W123" s="393">
        <f t="shared" si="112"/>
        <v>17.144900134862922</v>
      </c>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2.75">
      <c r="A124" s="192" t="str">
        <f t="shared" si="103"/>
        <v>PRB in LLAZ to 50 ug/L; GW recirc in MAAZ to 50 ug/L</v>
      </c>
      <c r="B124" s="100" t="s">
        <v>124</v>
      </c>
      <c r="C124" s="137">
        <f t="shared" si="104"/>
        <v>5.2637522338586004E-11</v>
      </c>
      <c r="D124" s="102" t="s">
        <v>170</v>
      </c>
      <c r="E124" s="69">
        <f t="shared" si="105"/>
        <v>0.41003772347055933</v>
      </c>
      <c r="F124" s="104" t="s">
        <v>125</v>
      </c>
      <c r="G124" s="137">
        <f t="shared" si="106"/>
        <v>4.92330016583748</v>
      </c>
      <c r="H124" s="106" t="s">
        <v>126</v>
      </c>
      <c r="I124" s="69">
        <f t="shared" si="107"/>
        <v>0</v>
      </c>
      <c r="J124" s="104" t="s">
        <v>127</v>
      </c>
      <c r="K124" s="137">
        <f t="shared" si="108"/>
        <v>0.3582089552238806</v>
      </c>
      <c r="L124" s="106" t="s">
        <v>147</v>
      </c>
      <c r="M124" s="69">
        <f t="shared" si="109"/>
        <v>36.19612888547335</v>
      </c>
      <c r="N124" s="386" t="s">
        <v>187</v>
      </c>
      <c r="O124" s="148">
        <f t="shared" si="101"/>
        <v>41.88767573005791</v>
      </c>
      <c r="P124" s="266" t="s">
        <v>124</v>
      </c>
      <c r="Q124" s="198">
        <f t="shared" si="110"/>
        <v>5.2637522338586004E-11</v>
      </c>
      <c r="R124" s="200" t="s">
        <v>258</v>
      </c>
      <c r="S124" s="198">
        <f t="shared" si="102"/>
        <v>4.92330016583748</v>
      </c>
      <c r="T124" s="197" t="s">
        <v>340</v>
      </c>
      <c r="U124" s="198">
        <f t="shared" si="111"/>
        <v>0.25586353944562895</v>
      </c>
      <c r="V124" s="381" t="s">
        <v>289</v>
      </c>
      <c r="W124" s="393">
        <f t="shared" si="112"/>
        <v>41.785330314279655</v>
      </c>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12.75">
      <c r="A125" s="192">
        <f t="shared" si="103"/>
      </c>
      <c r="B125" s="100" t="s">
        <v>124</v>
      </c>
      <c r="C125" s="137">
        <f t="shared" si="104"/>
        <v>0</v>
      </c>
      <c r="D125" s="102" t="s">
        <v>170</v>
      </c>
      <c r="E125" s="69">
        <f t="shared" si="105"/>
        <v>0</v>
      </c>
      <c r="F125" s="104" t="s">
        <v>125</v>
      </c>
      <c r="G125" s="137">
        <f t="shared" si="106"/>
        <v>0</v>
      </c>
      <c r="H125" s="106" t="s">
        <v>126</v>
      </c>
      <c r="I125" s="69">
        <f t="shared" si="107"/>
        <v>0</v>
      </c>
      <c r="J125" s="104" t="s">
        <v>127</v>
      </c>
      <c r="K125" s="137">
        <f t="shared" si="108"/>
        <v>0</v>
      </c>
      <c r="L125" s="106" t="s">
        <v>147</v>
      </c>
      <c r="M125" s="69">
        <f t="shared" si="109"/>
      </c>
      <c r="N125" s="386" t="s">
        <v>187</v>
      </c>
      <c r="O125" s="148">
        <f t="shared" si="101"/>
      </c>
      <c r="P125" s="266" t="s">
        <v>124</v>
      </c>
      <c r="Q125" s="198">
        <f t="shared" si="110"/>
        <v>0</v>
      </c>
      <c r="R125" s="200" t="s">
        <v>258</v>
      </c>
      <c r="S125" s="198">
        <f t="shared" si="102"/>
        <v>0</v>
      </c>
      <c r="T125" s="197" t="s">
        <v>340</v>
      </c>
      <c r="U125" s="198">
        <f t="shared" si="111"/>
        <v>0</v>
      </c>
      <c r="V125" s="381" t="s">
        <v>289</v>
      </c>
      <c r="W125" s="393">
        <f t="shared" si="112"/>
      </c>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2.75">
      <c r="A126" s="192">
        <f t="shared" si="103"/>
      </c>
      <c r="B126" s="100" t="s">
        <v>124</v>
      </c>
      <c r="C126" s="137">
        <f t="shared" si="104"/>
        <v>0</v>
      </c>
      <c r="D126" s="102" t="s">
        <v>170</v>
      </c>
      <c r="E126" s="69">
        <f t="shared" si="105"/>
        <v>0</v>
      </c>
      <c r="F126" s="104" t="s">
        <v>125</v>
      </c>
      <c r="G126" s="137">
        <f t="shared" si="106"/>
        <v>0</v>
      </c>
      <c r="H126" s="106" t="s">
        <v>126</v>
      </c>
      <c r="I126" s="69">
        <f t="shared" si="107"/>
        <v>0</v>
      </c>
      <c r="J126" s="104" t="s">
        <v>127</v>
      </c>
      <c r="K126" s="137">
        <f t="shared" si="108"/>
        <v>0</v>
      </c>
      <c r="L126" s="106" t="s">
        <v>147</v>
      </c>
      <c r="M126" s="69">
        <f t="shared" si="109"/>
      </c>
      <c r="N126" s="386" t="s">
        <v>187</v>
      </c>
      <c r="O126" s="148">
        <f aca="true" t="shared" si="113" ref="O126:O135">IF(A126="","",M126+K126+I126+G126+E126+C126)</f>
      </c>
      <c r="P126" s="266" t="s">
        <v>124</v>
      </c>
      <c r="Q126" s="198">
        <f t="shared" si="110"/>
        <v>0</v>
      </c>
      <c r="R126" s="200" t="s">
        <v>258</v>
      </c>
      <c r="S126" s="198">
        <f t="shared" si="102"/>
        <v>0</v>
      </c>
      <c r="T126" s="197" t="s">
        <v>340</v>
      </c>
      <c r="U126" s="198">
        <f t="shared" si="111"/>
        <v>0</v>
      </c>
      <c r="V126" s="381" t="s">
        <v>289</v>
      </c>
      <c r="W126" s="393">
        <f t="shared" si="112"/>
      </c>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2.75">
      <c r="A127" s="192">
        <f t="shared" si="103"/>
      </c>
      <c r="B127" s="100" t="s">
        <v>124</v>
      </c>
      <c r="C127" s="137">
        <f t="shared" si="104"/>
        <v>0</v>
      </c>
      <c r="D127" s="102" t="s">
        <v>170</v>
      </c>
      <c r="E127" s="69">
        <f t="shared" si="105"/>
        <v>0</v>
      </c>
      <c r="F127" s="104" t="s">
        <v>125</v>
      </c>
      <c r="G127" s="137">
        <f t="shared" si="106"/>
        <v>0</v>
      </c>
      <c r="H127" s="106" t="s">
        <v>126</v>
      </c>
      <c r="I127" s="69">
        <f t="shared" si="107"/>
        <v>0</v>
      </c>
      <c r="J127" s="104" t="s">
        <v>127</v>
      </c>
      <c r="K127" s="137">
        <f t="shared" si="108"/>
        <v>0</v>
      </c>
      <c r="L127" s="106" t="s">
        <v>147</v>
      </c>
      <c r="M127" s="69">
        <f t="shared" si="109"/>
      </c>
      <c r="N127" s="386" t="s">
        <v>187</v>
      </c>
      <c r="O127" s="148">
        <f t="shared" si="113"/>
      </c>
      <c r="P127" s="266" t="s">
        <v>124</v>
      </c>
      <c r="Q127" s="198">
        <f t="shared" si="110"/>
        <v>0</v>
      </c>
      <c r="R127" s="200" t="s">
        <v>258</v>
      </c>
      <c r="S127" s="198">
        <f t="shared" si="102"/>
        <v>0</v>
      </c>
      <c r="T127" s="197" t="s">
        <v>340</v>
      </c>
      <c r="U127" s="198">
        <f t="shared" si="111"/>
        <v>0</v>
      </c>
      <c r="V127" s="381" t="s">
        <v>289</v>
      </c>
      <c r="W127" s="393">
        <f t="shared" si="112"/>
      </c>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2.75">
      <c r="A128" s="192">
        <f t="shared" si="103"/>
      </c>
      <c r="B128" s="100" t="s">
        <v>124</v>
      </c>
      <c r="C128" s="137">
        <f t="shared" si="104"/>
        <v>0</v>
      </c>
      <c r="D128" s="102" t="s">
        <v>170</v>
      </c>
      <c r="E128" s="69">
        <f t="shared" si="105"/>
        <v>0</v>
      </c>
      <c r="F128" s="104" t="s">
        <v>125</v>
      </c>
      <c r="G128" s="137">
        <f t="shared" si="106"/>
        <v>0</v>
      </c>
      <c r="H128" s="106" t="s">
        <v>126</v>
      </c>
      <c r="I128" s="69">
        <f t="shared" si="107"/>
        <v>0</v>
      </c>
      <c r="J128" s="104" t="s">
        <v>127</v>
      </c>
      <c r="K128" s="137">
        <f t="shared" si="108"/>
        <v>0</v>
      </c>
      <c r="L128" s="106" t="s">
        <v>147</v>
      </c>
      <c r="M128" s="69">
        <f t="shared" si="109"/>
      </c>
      <c r="N128" s="386" t="s">
        <v>187</v>
      </c>
      <c r="O128" s="148">
        <f t="shared" si="113"/>
      </c>
      <c r="P128" s="266" t="s">
        <v>124</v>
      </c>
      <c r="Q128" s="198">
        <f t="shared" si="110"/>
        <v>0</v>
      </c>
      <c r="R128" s="200" t="s">
        <v>258</v>
      </c>
      <c r="S128" s="198">
        <f t="shared" si="102"/>
        <v>0</v>
      </c>
      <c r="T128" s="197" t="s">
        <v>340</v>
      </c>
      <c r="U128" s="198">
        <f t="shared" si="111"/>
        <v>0</v>
      </c>
      <c r="V128" s="381" t="s">
        <v>289</v>
      </c>
      <c r="W128" s="393">
        <f t="shared" si="112"/>
      </c>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12.75">
      <c r="A129" s="192">
        <f t="shared" si="103"/>
      </c>
      <c r="B129" s="100" t="s">
        <v>124</v>
      </c>
      <c r="C129" s="137">
        <f t="shared" si="104"/>
        <v>0</v>
      </c>
      <c r="D129" s="102" t="s">
        <v>170</v>
      </c>
      <c r="E129" s="69">
        <f t="shared" si="105"/>
        <v>0</v>
      </c>
      <c r="F129" s="104" t="s">
        <v>125</v>
      </c>
      <c r="G129" s="137">
        <f t="shared" si="106"/>
        <v>0</v>
      </c>
      <c r="H129" s="106" t="s">
        <v>126</v>
      </c>
      <c r="I129" s="69">
        <f t="shared" si="107"/>
        <v>0</v>
      </c>
      <c r="J129" s="104" t="s">
        <v>127</v>
      </c>
      <c r="K129" s="137">
        <f t="shared" si="108"/>
        <v>0</v>
      </c>
      <c r="L129" s="106" t="s">
        <v>147</v>
      </c>
      <c r="M129" s="69">
        <f t="shared" si="109"/>
      </c>
      <c r="N129" s="386" t="s">
        <v>187</v>
      </c>
      <c r="O129" s="148">
        <f t="shared" si="113"/>
      </c>
      <c r="P129" s="266" t="s">
        <v>124</v>
      </c>
      <c r="Q129" s="198">
        <f t="shared" si="110"/>
        <v>0</v>
      </c>
      <c r="R129" s="200" t="s">
        <v>258</v>
      </c>
      <c r="S129" s="198">
        <f t="shared" si="102"/>
        <v>0</v>
      </c>
      <c r="T129" s="197" t="s">
        <v>340</v>
      </c>
      <c r="U129" s="198">
        <f t="shared" si="111"/>
        <v>0</v>
      </c>
      <c r="V129" s="381" t="s">
        <v>289</v>
      </c>
      <c r="W129" s="393">
        <f t="shared" si="112"/>
      </c>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2.75">
      <c r="A130" s="192">
        <f t="shared" si="103"/>
      </c>
      <c r="B130" s="100" t="s">
        <v>124</v>
      </c>
      <c r="C130" s="137">
        <f t="shared" si="104"/>
        <v>0</v>
      </c>
      <c r="D130" s="102" t="s">
        <v>170</v>
      </c>
      <c r="E130" s="69">
        <f t="shared" si="105"/>
        <v>0</v>
      </c>
      <c r="F130" s="104" t="s">
        <v>125</v>
      </c>
      <c r="G130" s="137">
        <f t="shared" si="106"/>
        <v>0</v>
      </c>
      <c r="H130" s="106" t="s">
        <v>126</v>
      </c>
      <c r="I130" s="69">
        <f t="shared" si="107"/>
        <v>0</v>
      </c>
      <c r="J130" s="104" t="s">
        <v>127</v>
      </c>
      <c r="K130" s="137">
        <f t="shared" si="108"/>
        <v>0</v>
      </c>
      <c r="L130" s="106" t="s">
        <v>147</v>
      </c>
      <c r="M130" s="69">
        <f t="shared" si="109"/>
      </c>
      <c r="N130" s="386" t="s">
        <v>187</v>
      </c>
      <c r="O130" s="148">
        <f t="shared" si="113"/>
      </c>
      <c r="P130" s="266" t="s">
        <v>124</v>
      </c>
      <c r="Q130" s="198">
        <f t="shared" si="110"/>
        <v>0</v>
      </c>
      <c r="R130" s="200" t="s">
        <v>258</v>
      </c>
      <c r="S130" s="198">
        <f t="shared" si="102"/>
        <v>0</v>
      </c>
      <c r="T130" s="197" t="s">
        <v>340</v>
      </c>
      <c r="U130" s="198">
        <f t="shared" si="111"/>
        <v>0</v>
      </c>
      <c r="V130" s="381" t="s">
        <v>289</v>
      </c>
      <c r="W130" s="393">
        <f t="shared" si="112"/>
      </c>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0" ht="12.75">
      <c r="A131" s="192">
        <f t="shared" si="103"/>
      </c>
      <c r="B131" s="100" t="s">
        <v>124</v>
      </c>
      <c r="C131" s="137">
        <f t="shared" si="104"/>
        <v>0</v>
      </c>
      <c r="D131" s="102" t="s">
        <v>170</v>
      </c>
      <c r="E131" s="69">
        <f t="shared" si="105"/>
        <v>0</v>
      </c>
      <c r="F131" s="104" t="s">
        <v>125</v>
      </c>
      <c r="G131" s="137">
        <f t="shared" si="106"/>
        <v>0</v>
      </c>
      <c r="H131" s="106" t="s">
        <v>126</v>
      </c>
      <c r="I131" s="69">
        <f t="shared" si="107"/>
        <v>0</v>
      </c>
      <c r="J131" s="104" t="s">
        <v>127</v>
      </c>
      <c r="K131" s="137">
        <f t="shared" si="108"/>
        <v>0</v>
      </c>
      <c r="L131" s="106" t="s">
        <v>147</v>
      </c>
      <c r="M131" s="69">
        <f t="shared" si="109"/>
      </c>
      <c r="N131" s="386" t="s">
        <v>187</v>
      </c>
      <c r="O131" s="148">
        <f t="shared" si="113"/>
      </c>
      <c r="P131" s="266" t="s">
        <v>124</v>
      </c>
      <c r="Q131" s="198">
        <f t="shared" si="110"/>
        <v>0</v>
      </c>
      <c r="R131" s="200" t="s">
        <v>258</v>
      </c>
      <c r="S131" s="198">
        <f t="shared" si="102"/>
        <v>0</v>
      </c>
      <c r="T131" s="197" t="s">
        <v>340</v>
      </c>
      <c r="U131" s="198">
        <f t="shared" si="111"/>
        <v>0</v>
      </c>
      <c r="V131" s="381" t="s">
        <v>289</v>
      </c>
      <c r="W131" s="393">
        <f t="shared" si="112"/>
      </c>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ht="12.75">
      <c r="A132" s="192">
        <f t="shared" si="103"/>
      </c>
      <c r="B132" s="100" t="s">
        <v>124</v>
      </c>
      <c r="C132" s="137">
        <f t="shared" si="104"/>
        <v>0</v>
      </c>
      <c r="D132" s="102" t="s">
        <v>170</v>
      </c>
      <c r="E132" s="69">
        <f t="shared" si="105"/>
        <v>0</v>
      </c>
      <c r="F132" s="104" t="s">
        <v>125</v>
      </c>
      <c r="G132" s="137">
        <f t="shared" si="106"/>
        <v>0</v>
      </c>
      <c r="H132" s="106" t="s">
        <v>126</v>
      </c>
      <c r="I132" s="69">
        <f t="shared" si="107"/>
        <v>0</v>
      </c>
      <c r="J132" s="104" t="s">
        <v>127</v>
      </c>
      <c r="K132" s="137">
        <f t="shared" si="108"/>
        <v>0</v>
      </c>
      <c r="L132" s="106" t="s">
        <v>147</v>
      </c>
      <c r="M132" s="69">
        <f t="shared" si="109"/>
      </c>
      <c r="N132" s="386" t="s">
        <v>187</v>
      </c>
      <c r="O132" s="148">
        <f t="shared" si="113"/>
      </c>
      <c r="P132" s="266" t="s">
        <v>124</v>
      </c>
      <c r="Q132" s="198">
        <f t="shared" si="110"/>
        <v>0</v>
      </c>
      <c r="R132" s="200" t="s">
        <v>258</v>
      </c>
      <c r="S132" s="198">
        <f t="shared" si="102"/>
        <v>0</v>
      </c>
      <c r="T132" s="197" t="s">
        <v>340</v>
      </c>
      <c r="U132" s="198">
        <f t="shared" si="111"/>
        <v>0</v>
      </c>
      <c r="V132" s="381" t="s">
        <v>289</v>
      </c>
      <c r="W132" s="393">
        <f t="shared" si="112"/>
      </c>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row>
    <row r="133" spans="1:60" ht="12.75">
      <c r="A133" s="192">
        <f t="shared" si="103"/>
      </c>
      <c r="B133" s="100" t="s">
        <v>124</v>
      </c>
      <c r="C133" s="137">
        <f t="shared" si="104"/>
        <v>0</v>
      </c>
      <c r="D133" s="102" t="s">
        <v>170</v>
      </c>
      <c r="E133" s="69">
        <f t="shared" si="105"/>
        <v>0</v>
      </c>
      <c r="F133" s="104" t="s">
        <v>125</v>
      </c>
      <c r="G133" s="137">
        <f t="shared" si="106"/>
        <v>0</v>
      </c>
      <c r="H133" s="106" t="s">
        <v>126</v>
      </c>
      <c r="I133" s="69">
        <f t="shared" si="107"/>
        <v>0</v>
      </c>
      <c r="J133" s="104" t="s">
        <v>127</v>
      </c>
      <c r="K133" s="137">
        <f t="shared" si="108"/>
        <v>0</v>
      </c>
      <c r="L133" s="106" t="s">
        <v>147</v>
      </c>
      <c r="M133" s="69">
        <f t="shared" si="109"/>
      </c>
      <c r="N133" s="386" t="s">
        <v>187</v>
      </c>
      <c r="O133" s="148">
        <f t="shared" si="113"/>
      </c>
      <c r="P133" s="266" t="s">
        <v>124</v>
      </c>
      <c r="Q133" s="198">
        <f t="shared" si="110"/>
        <v>0</v>
      </c>
      <c r="R133" s="200" t="s">
        <v>258</v>
      </c>
      <c r="S133" s="198">
        <f t="shared" si="102"/>
        <v>0</v>
      </c>
      <c r="T133" s="197" t="s">
        <v>340</v>
      </c>
      <c r="U133" s="198">
        <f t="shared" si="111"/>
        <v>0</v>
      </c>
      <c r="V133" s="381" t="s">
        <v>289</v>
      </c>
      <c r="W133" s="393">
        <f t="shared" si="112"/>
      </c>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ht="12.75">
      <c r="A134" s="192">
        <f t="shared" si="103"/>
      </c>
      <c r="B134" s="100" t="s">
        <v>124</v>
      </c>
      <c r="C134" s="137">
        <f t="shared" si="104"/>
        <v>0</v>
      </c>
      <c r="D134" s="102" t="s">
        <v>170</v>
      </c>
      <c r="E134" s="69">
        <f t="shared" si="105"/>
        <v>0</v>
      </c>
      <c r="F134" s="104" t="s">
        <v>125</v>
      </c>
      <c r="G134" s="137">
        <f t="shared" si="106"/>
        <v>0</v>
      </c>
      <c r="H134" s="106" t="s">
        <v>126</v>
      </c>
      <c r="I134" s="69">
        <f t="shared" si="107"/>
        <v>0</v>
      </c>
      <c r="J134" s="104" t="s">
        <v>127</v>
      </c>
      <c r="K134" s="137">
        <f t="shared" si="108"/>
        <v>0</v>
      </c>
      <c r="L134" s="106" t="s">
        <v>147</v>
      </c>
      <c r="M134" s="69">
        <f t="shared" si="109"/>
      </c>
      <c r="N134" s="386" t="s">
        <v>187</v>
      </c>
      <c r="O134" s="148">
        <f t="shared" si="113"/>
      </c>
      <c r="P134" s="266" t="s">
        <v>124</v>
      </c>
      <c r="Q134" s="198">
        <f t="shared" si="110"/>
        <v>0</v>
      </c>
      <c r="R134" s="200" t="s">
        <v>258</v>
      </c>
      <c r="S134" s="198">
        <f t="shared" si="102"/>
        <v>0</v>
      </c>
      <c r="T134" s="197" t="s">
        <v>340</v>
      </c>
      <c r="U134" s="198">
        <f t="shared" si="111"/>
        <v>0</v>
      </c>
      <c r="V134" s="381" t="s">
        <v>289</v>
      </c>
      <c r="W134" s="393">
        <f t="shared" si="112"/>
      </c>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0" ht="12.75">
      <c r="A135" s="192">
        <f t="shared" si="103"/>
      </c>
      <c r="B135" s="101" t="s">
        <v>124</v>
      </c>
      <c r="C135" s="138">
        <f t="shared" si="104"/>
        <v>0</v>
      </c>
      <c r="D135" s="103" t="s">
        <v>170</v>
      </c>
      <c r="E135" s="130">
        <f t="shared" si="105"/>
        <v>0</v>
      </c>
      <c r="F135" s="105" t="s">
        <v>125</v>
      </c>
      <c r="G135" s="138">
        <f t="shared" si="106"/>
        <v>0</v>
      </c>
      <c r="H135" s="107" t="s">
        <v>126</v>
      </c>
      <c r="I135" s="130">
        <f t="shared" si="107"/>
        <v>0</v>
      </c>
      <c r="J135" s="105" t="s">
        <v>127</v>
      </c>
      <c r="K135" s="138">
        <f t="shared" si="108"/>
        <v>0</v>
      </c>
      <c r="L135" s="107" t="s">
        <v>147</v>
      </c>
      <c r="M135" s="69">
        <f t="shared" si="109"/>
      </c>
      <c r="N135" s="387" t="s">
        <v>187</v>
      </c>
      <c r="O135" s="148">
        <f t="shared" si="113"/>
      </c>
      <c r="P135" s="267" t="s">
        <v>124</v>
      </c>
      <c r="Q135" s="369">
        <f t="shared" si="110"/>
        <v>0</v>
      </c>
      <c r="R135" s="368" t="s">
        <v>258</v>
      </c>
      <c r="S135" s="369">
        <f t="shared" si="102"/>
        <v>0</v>
      </c>
      <c r="T135" s="382" t="s">
        <v>340</v>
      </c>
      <c r="U135" s="369">
        <f t="shared" si="111"/>
        <v>0</v>
      </c>
      <c r="V135" s="383" t="s">
        <v>289</v>
      </c>
      <c r="W135" s="393">
        <f t="shared" si="112"/>
      </c>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53" ht="12.75">
      <c r="A136" s="55"/>
      <c r="B136" s="52"/>
      <c r="C136" s="56"/>
      <c r="D136" s="116"/>
      <c r="E136" s="117"/>
      <c r="F136" s="56"/>
      <c r="G136" s="56"/>
      <c r="H136" s="56"/>
      <c r="I136" s="56"/>
      <c r="J136" s="56"/>
      <c r="K136" s="56"/>
      <c r="L136" s="56"/>
      <c r="M136" s="56"/>
      <c r="N136" s="2"/>
      <c r="O136"/>
      <c r="R136"/>
      <c r="S136" s="56"/>
      <c r="V136"/>
      <c r="W136"/>
      <c r="X136"/>
      <c r="Y136"/>
      <c r="Z136"/>
      <c r="AA136"/>
      <c r="AB136"/>
      <c r="AC136"/>
      <c r="AD136"/>
      <c r="AE136"/>
      <c r="AF136"/>
      <c r="AG136"/>
      <c r="AH136"/>
      <c r="AI136"/>
      <c r="AJ136"/>
      <c r="AK136"/>
      <c r="AL136"/>
      <c r="AM136"/>
      <c r="AN136"/>
      <c r="AO136"/>
      <c r="AP136"/>
      <c r="AQ136"/>
      <c r="AR136"/>
      <c r="AS136"/>
      <c r="AT136"/>
      <c r="AU136"/>
      <c r="AV136"/>
      <c r="AW136"/>
      <c r="AY136" s="4"/>
      <c r="AZ136" s="4"/>
      <c r="BA136" s="4"/>
    </row>
    <row r="137" spans="1:60" ht="12.75">
      <c r="A137" s="111" t="s">
        <v>191</v>
      </c>
      <c r="B137" s="115" t="str">
        <f>B115</f>
        <v>Wh</v>
      </c>
      <c r="C137" s="136">
        <f>'Weights-options'!$G$23</f>
        <v>0.14652014652014653</v>
      </c>
      <c r="D137" s="115" t="s">
        <v>181</v>
      </c>
      <c r="E137" s="136">
        <f>'Weights-options'!$G$24</f>
        <v>0.14652014652014653</v>
      </c>
      <c r="F137" s="115" t="str">
        <f>F115</f>
        <v>We</v>
      </c>
      <c r="G137" s="136">
        <f>'Weights-options'!$G$25</f>
        <v>0.2962962962962963</v>
      </c>
      <c r="H137" s="115" t="str">
        <f>H115</f>
        <v>Wrr</v>
      </c>
      <c r="I137" s="136">
        <f>'Weights-options'!$G$26</f>
        <v>0.26666666666666666</v>
      </c>
      <c r="J137" s="97" t="s">
        <v>184</v>
      </c>
      <c r="K137" s="136">
        <f>'Weights-options'!$G$27</f>
        <v>1.3333333333333333</v>
      </c>
      <c r="L137" s="97" t="s">
        <v>185</v>
      </c>
      <c r="M137" s="136">
        <f>'Weights-options'!$G$28</f>
        <v>0.13333333333333333</v>
      </c>
      <c r="N137" s="118" t="s">
        <v>261</v>
      </c>
      <c r="O137" s="149"/>
      <c r="P137" s="115" t="str">
        <f>P115</f>
        <v>Wh</v>
      </c>
      <c r="Q137" s="136">
        <f>'Weights-options'!$G$23</f>
        <v>0.14652014652014653</v>
      </c>
      <c r="R137" s="97" t="s">
        <v>182</v>
      </c>
      <c r="S137" s="388">
        <f>'Weights-options'!$G$25</f>
        <v>0.2962962962962963</v>
      </c>
      <c r="T137" s="97" t="s">
        <v>184</v>
      </c>
      <c r="U137" s="136">
        <f>'Weights-options'!$G$27</f>
        <v>1.3333333333333333</v>
      </c>
      <c r="V137" s="118" t="s">
        <v>342</v>
      </c>
      <c r="W137" s="392"/>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12.75">
      <c r="A138" s="113" t="str">
        <f aca="true" t="shared" si="114" ref="A138:A157">A116</f>
        <v>No action</v>
      </c>
      <c r="B138" s="100" t="str">
        <f>B116</f>
        <v>V(Public Health &amp; Safety)</v>
      </c>
      <c r="C138" s="137">
        <f aca="true" t="shared" si="115" ref="C138:C157">C72*C$137</f>
        <v>9.404570657827366E-05</v>
      </c>
      <c r="D138" s="102" t="str">
        <f>D116</f>
        <v>V(Worker Safety) </v>
      </c>
      <c r="E138" s="69">
        <f aca="true" t="shared" si="116" ref="E138:E157">E72*E$137</f>
        <v>0</v>
      </c>
      <c r="F138" s="104" t="str">
        <f>F116</f>
        <v>V(Env. impact) </v>
      </c>
      <c r="G138" s="137">
        <f aca="true" t="shared" si="117" ref="G138:G157">G72*G$137</f>
        <v>3.518518518518518</v>
      </c>
      <c r="H138" s="106" t="str">
        <f>H116</f>
        <v>V(Reg. resposniveness)</v>
      </c>
      <c r="I138" s="69">
        <f aca="true" t="shared" si="118" ref="I138:I157">I72*I$137</f>
        <v>266666666.66666666</v>
      </c>
      <c r="J138" s="104" t="str">
        <f>J116</f>
        <v>V(Time to complete)</v>
      </c>
      <c r="K138" s="137">
        <f aca="true" t="shared" si="119" ref="K138:K157">K72*K$137</f>
        <v>11.466666666666665</v>
      </c>
      <c r="L138" s="106" t="str">
        <f>L116</f>
        <v>V(Total cost)</v>
      </c>
      <c r="M138" s="69">
        <f aca="true" t="shared" si="120" ref="M138:M146">IF(A138="","",M72*M$137)</f>
        <v>0</v>
      </c>
      <c r="N138" s="385" t="s">
        <v>349</v>
      </c>
      <c r="O138" s="148">
        <f>IF(A138="","",M138+K138+I138+G138+E138+C138)</f>
        <v>266666681.6519459</v>
      </c>
      <c r="P138" s="371" t="s">
        <v>343</v>
      </c>
      <c r="Q138" s="198">
        <f>Q72*Q$137</f>
        <v>9.404570657827366E-05</v>
      </c>
      <c r="R138" s="200" t="str">
        <f>R94</f>
        <v>V(Env impact) 
(user-specified)</v>
      </c>
      <c r="S138" s="198">
        <f aca="true" t="shared" si="121" ref="S138:S157">S72*S$137</f>
        <v>3.518518518518518</v>
      </c>
      <c r="T138" s="363" t="s">
        <v>344</v>
      </c>
      <c r="U138" s="198">
        <f>U72*U$137</f>
        <v>8.19047619047619</v>
      </c>
      <c r="V138" s="380" t="s">
        <v>361</v>
      </c>
      <c r="W138" s="393">
        <f>IF(A138="","",M138+U138+I138+S138+E138+Q138)</f>
        <v>266666678.3757554</v>
      </c>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ht="12.75">
      <c r="A139" s="112" t="str">
        <f t="shared" si="114"/>
        <v>MNA in MAAZ &amp; LLAZ</v>
      </c>
      <c r="B139" s="100" t="s">
        <v>124</v>
      </c>
      <c r="C139" s="137">
        <f t="shared" si="115"/>
        <v>1.880914131565473E-10</v>
      </c>
      <c r="D139" s="102" t="s">
        <v>170</v>
      </c>
      <c r="E139" s="69">
        <f t="shared" si="116"/>
        <v>0.0029304029304029304</v>
      </c>
      <c r="F139" s="104" t="s">
        <v>125</v>
      </c>
      <c r="G139" s="137">
        <f t="shared" si="117"/>
        <v>3.518518518518518</v>
      </c>
      <c r="H139" s="106" t="s">
        <v>126</v>
      </c>
      <c r="I139" s="69">
        <f t="shared" si="118"/>
        <v>16</v>
      </c>
      <c r="J139" s="104" t="s">
        <v>127</v>
      </c>
      <c r="K139" s="137">
        <f t="shared" si="119"/>
        <v>11.466666666666665</v>
      </c>
      <c r="L139" s="106" t="s">
        <v>147</v>
      </c>
      <c r="M139" s="69">
        <f t="shared" si="120"/>
        <v>9.92733574787135</v>
      </c>
      <c r="N139" s="386" t="s">
        <v>187</v>
      </c>
      <c r="O139" s="148">
        <f aca="true" t="shared" si="122" ref="O139:O157">IF(A139="","",M139+K139+I139+G139+E139+C139)</f>
        <v>40.91545133617503</v>
      </c>
      <c r="P139" s="266" t="s">
        <v>124</v>
      </c>
      <c r="Q139" s="198">
        <f aca="true" t="shared" si="123" ref="Q139:Q157">Q73*Q$137</f>
        <v>1.880914131565473E-10</v>
      </c>
      <c r="R139" s="200" t="s">
        <v>258</v>
      </c>
      <c r="S139" s="198">
        <f t="shared" si="121"/>
        <v>3.518518518518518</v>
      </c>
      <c r="T139" s="197" t="s">
        <v>340</v>
      </c>
      <c r="U139" s="198">
        <f aca="true" t="shared" si="124" ref="U139:U157">U73*U$137</f>
        <v>8.19047619047619</v>
      </c>
      <c r="V139" s="381" t="s">
        <v>289</v>
      </c>
      <c r="W139" s="393">
        <f aca="true" t="shared" si="125" ref="W139:W157">IF(A139="","",M139+U139+I139+S139+E139+Q139)</f>
        <v>37.63926085998456</v>
      </c>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row>
    <row r="140" spans="1:60" ht="12.75">
      <c r="A140" s="112" t="str">
        <f t="shared" si="114"/>
        <v>Operate existing gw recirc wells to 50 ug/L; MNA in residual</v>
      </c>
      <c r="B140" s="100" t="s">
        <v>124</v>
      </c>
      <c r="C140" s="137">
        <f t="shared" si="115"/>
        <v>1.880914131565473E-10</v>
      </c>
      <c r="D140" s="102" t="s">
        <v>170</v>
      </c>
      <c r="E140" s="69">
        <f t="shared" si="116"/>
        <v>0.0029304029304029304</v>
      </c>
      <c r="F140" s="104" t="s">
        <v>125</v>
      </c>
      <c r="G140" s="137">
        <f t="shared" si="117"/>
        <v>1.759259259259259</v>
      </c>
      <c r="H140" s="106" t="s">
        <v>126</v>
      </c>
      <c r="I140" s="69">
        <f t="shared" si="118"/>
        <v>8</v>
      </c>
      <c r="J140" s="104" t="s">
        <v>127</v>
      </c>
      <c r="K140" s="137">
        <f t="shared" si="119"/>
        <v>8</v>
      </c>
      <c r="L140" s="106" t="s">
        <v>147</v>
      </c>
      <c r="M140" s="69">
        <f t="shared" si="120"/>
        <v>15.767801761510448</v>
      </c>
      <c r="N140" s="386" t="s">
        <v>187</v>
      </c>
      <c r="O140" s="148">
        <f t="shared" si="122"/>
        <v>33.529991423888205</v>
      </c>
      <c r="P140" s="266" t="s">
        <v>124</v>
      </c>
      <c r="Q140" s="198">
        <f t="shared" si="123"/>
        <v>1.880914131565473E-10</v>
      </c>
      <c r="R140" s="200" t="s">
        <v>258</v>
      </c>
      <c r="S140" s="198">
        <f t="shared" si="121"/>
        <v>1.759259259259259</v>
      </c>
      <c r="T140" s="197" t="s">
        <v>340</v>
      </c>
      <c r="U140" s="198">
        <f t="shared" si="124"/>
        <v>5.7142857142857135</v>
      </c>
      <c r="V140" s="381" t="s">
        <v>289</v>
      </c>
      <c r="W140" s="393">
        <f t="shared" si="125"/>
        <v>31.244277138173917</v>
      </c>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12.75">
      <c r="A141" s="112" t="str">
        <f t="shared" si="114"/>
        <v>GW recirc in LLAZ to 50 ug/L; MNA in MAAZ</v>
      </c>
      <c r="B141" s="100" t="s">
        <v>124</v>
      </c>
      <c r="C141" s="137">
        <f t="shared" si="115"/>
        <v>1.8809141315654732E-11</v>
      </c>
      <c r="D141" s="102" t="s">
        <v>170</v>
      </c>
      <c r="E141" s="69">
        <f t="shared" si="116"/>
        <v>0.029304029304029307</v>
      </c>
      <c r="F141" s="104" t="s">
        <v>125</v>
      </c>
      <c r="G141" s="137">
        <f t="shared" si="117"/>
        <v>1.759259259259259</v>
      </c>
      <c r="H141" s="106" t="s">
        <v>126</v>
      </c>
      <c r="I141" s="69">
        <f t="shared" si="118"/>
        <v>0</v>
      </c>
      <c r="J141" s="104" t="s">
        <v>127</v>
      </c>
      <c r="K141" s="137">
        <f t="shared" si="119"/>
        <v>8</v>
      </c>
      <c r="L141" s="106" t="s">
        <v>147</v>
      </c>
      <c r="M141" s="69">
        <f t="shared" si="120"/>
        <v>21.057720106033447</v>
      </c>
      <c r="N141" s="386" t="s">
        <v>187</v>
      </c>
      <c r="O141" s="148">
        <f t="shared" si="122"/>
        <v>30.846283394615543</v>
      </c>
      <c r="P141" s="266" t="s">
        <v>124</v>
      </c>
      <c r="Q141" s="198">
        <f t="shared" si="123"/>
        <v>1.8809141315654732E-11</v>
      </c>
      <c r="R141" s="200" t="s">
        <v>258</v>
      </c>
      <c r="S141" s="198">
        <f t="shared" si="121"/>
        <v>1.759259259259259</v>
      </c>
      <c r="T141" s="197" t="s">
        <v>340</v>
      </c>
      <c r="U141" s="198">
        <f t="shared" si="124"/>
        <v>5.7142857142857135</v>
      </c>
      <c r="V141" s="381" t="s">
        <v>289</v>
      </c>
      <c r="W141" s="393">
        <f t="shared" si="125"/>
        <v>28.560569108901255</v>
      </c>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12.75">
      <c r="A142" s="112" t="str">
        <f t="shared" si="114"/>
        <v>ChemOx in LLAZ to 50 ug/L; MNA in MAAZ</v>
      </c>
      <c r="B142" s="100" t="s">
        <v>124</v>
      </c>
      <c r="C142" s="137">
        <f t="shared" si="115"/>
        <v>1.8809141315654732E-11</v>
      </c>
      <c r="D142" s="102" t="s">
        <v>170</v>
      </c>
      <c r="E142" s="69">
        <f t="shared" si="116"/>
        <v>0.29304029304029305</v>
      </c>
      <c r="F142" s="104" t="s">
        <v>125</v>
      </c>
      <c r="G142" s="137">
        <f t="shared" si="117"/>
        <v>1.759259259259259</v>
      </c>
      <c r="H142" s="106" t="s">
        <v>126</v>
      </c>
      <c r="I142" s="69">
        <f t="shared" si="118"/>
        <v>0</v>
      </c>
      <c r="J142" s="104" t="s">
        <v>127</v>
      </c>
      <c r="K142" s="137">
        <f t="shared" si="119"/>
        <v>6.666666666666666</v>
      </c>
      <c r="L142" s="106" t="s">
        <v>147</v>
      </c>
      <c r="M142" s="69">
        <f t="shared" si="120"/>
        <v>35.13566030836521</v>
      </c>
      <c r="N142" s="386" t="s">
        <v>187</v>
      </c>
      <c r="O142" s="148">
        <f t="shared" si="122"/>
        <v>43.854626527350234</v>
      </c>
      <c r="P142" s="266" t="s">
        <v>124</v>
      </c>
      <c r="Q142" s="198">
        <f t="shared" si="123"/>
        <v>1.8809141315654732E-11</v>
      </c>
      <c r="R142" s="200" t="s">
        <v>258</v>
      </c>
      <c r="S142" s="198">
        <f t="shared" si="121"/>
        <v>1.759259259259259</v>
      </c>
      <c r="T142" s="197" t="s">
        <v>340</v>
      </c>
      <c r="U142" s="198">
        <f t="shared" si="124"/>
        <v>4.761904761904761</v>
      </c>
      <c r="V142" s="381" t="s">
        <v>289</v>
      </c>
      <c r="W142" s="393">
        <f t="shared" si="125"/>
        <v>41.94986462258833</v>
      </c>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12.75">
      <c r="A143" s="112" t="str">
        <f t="shared" si="114"/>
        <v>PRB in LLAZ to 50 ug/L; MNA in MAAZ</v>
      </c>
      <c r="B143" s="100" t="s">
        <v>124</v>
      </c>
      <c r="C143" s="137">
        <f t="shared" si="115"/>
        <v>1.8809141315654732E-11</v>
      </c>
      <c r="D143" s="102" t="s">
        <v>170</v>
      </c>
      <c r="E143" s="69">
        <f t="shared" si="116"/>
        <v>0.14652014652014653</v>
      </c>
      <c r="F143" s="104" t="s">
        <v>125</v>
      </c>
      <c r="G143" s="137">
        <f t="shared" si="117"/>
        <v>1.759259259259259</v>
      </c>
      <c r="H143" s="106" t="s">
        <v>126</v>
      </c>
      <c r="I143" s="69">
        <f t="shared" si="118"/>
        <v>0</v>
      </c>
      <c r="J143" s="104" t="s">
        <v>127</v>
      </c>
      <c r="K143" s="137">
        <f t="shared" si="119"/>
        <v>6.666666666666666</v>
      </c>
      <c r="L143" s="106" t="s">
        <v>147</v>
      </c>
      <c r="M143" s="69">
        <f t="shared" si="120"/>
        <v>123.2789836225538</v>
      </c>
      <c r="N143" s="386" t="s">
        <v>187</v>
      </c>
      <c r="O143" s="148">
        <f t="shared" si="122"/>
        <v>131.85142969501868</v>
      </c>
      <c r="P143" s="266" t="s">
        <v>124</v>
      </c>
      <c r="Q143" s="198">
        <f t="shared" si="123"/>
        <v>1.8809141315654732E-11</v>
      </c>
      <c r="R143" s="200" t="s">
        <v>258</v>
      </c>
      <c r="S143" s="198">
        <f t="shared" si="121"/>
        <v>1.759259259259259</v>
      </c>
      <c r="T143" s="197" t="s">
        <v>340</v>
      </c>
      <c r="U143" s="198">
        <f t="shared" si="124"/>
        <v>4.761904761904761</v>
      </c>
      <c r="V143" s="381" t="s">
        <v>289</v>
      </c>
      <c r="W143" s="393">
        <f t="shared" si="125"/>
        <v>129.94666779025678</v>
      </c>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12.75">
      <c r="A144" s="112" t="str">
        <f t="shared" si="114"/>
        <v>GW recirc in LLAZ &amp; MAAZ to 50 ug/L</v>
      </c>
      <c r="B144" s="100" t="s">
        <v>124</v>
      </c>
      <c r="C144" s="137">
        <f t="shared" si="115"/>
        <v>1.8809141315654732E-11</v>
      </c>
      <c r="D144" s="102" t="s">
        <v>170</v>
      </c>
      <c r="E144" s="69">
        <f t="shared" si="116"/>
        <v>0.029304029304029307</v>
      </c>
      <c r="F144" s="104" t="s">
        <v>125</v>
      </c>
      <c r="G144" s="137">
        <f t="shared" si="117"/>
        <v>1.759259259259259</v>
      </c>
      <c r="H144" s="106" t="s">
        <v>126</v>
      </c>
      <c r="I144" s="69">
        <f t="shared" si="118"/>
        <v>0</v>
      </c>
      <c r="J144" s="104" t="s">
        <v>127</v>
      </c>
      <c r="K144" s="137">
        <f t="shared" si="119"/>
        <v>7.2</v>
      </c>
      <c r="L144" s="106" t="s">
        <v>147</v>
      </c>
      <c r="M144" s="69">
        <f t="shared" si="120"/>
        <v>25.72135406505399</v>
      </c>
      <c r="N144" s="386" t="s">
        <v>187</v>
      </c>
      <c r="O144" s="148">
        <f t="shared" si="122"/>
        <v>34.70991735363609</v>
      </c>
      <c r="P144" s="266" t="s">
        <v>124</v>
      </c>
      <c r="Q144" s="198">
        <f t="shared" si="123"/>
        <v>1.8809141315654732E-11</v>
      </c>
      <c r="R144" s="200" t="s">
        <v>258</v>
      </c>
      <c r="S144" s="198">
        <f t="shared" si="121"/>
        <v>1.759259259259259</v>
      </c>
      <c r="T144" s="197" t="s">
        <v>340</v>
      </c>
      <c r="U144" s="198">
        <f t="shared" si="124"/>
        <v>5.142857142857142</v>
      </c>
      <c r="V144" s="381" t="s">
        <v>289</v>
      </c>
      <c r="W144" s="393">
        <f t="shared" si="125"/>
        <v>32.65277449649323</v>
      </c>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12.75">
      <c r="A145" s="112" t="str">
        <f t="shared" si="114"/>
        <v>ChemOx in LLAZ to 50 ug/L; GW recirc in MAAZ to 50 ug/L</v>
      </c>
      <c r="B145" s="100" t="s">
        <v>124</v>
      </c>
      <c r="C145" s="137">
        <f t="shared" si="115"/>
        <v>1.8809141315654732E-11</v>
      </c>
      <c r="D145" s="102" t="s">
        <v>170</v>
      </c>
      <c r="E145" s="69">
        <f t="shared" si="116"/>
        <v>0.29304029304029305</v>
      </c>
      <c r="F145" s="104" t="s">
        <v>125</v>
      </c>
      <c r="G145" s="137">
        <f t="shared" si="117"/>
        <v>1.759259259259259</v>
      </c>
      <c r="H145" s="106" t="s">
        <v>126</v>
      </c>
      <c r="I145" s="69">
        <f t="shared" si="118"/>
        <v>0</v>
      </c>
      <c r="J145" s="104" t="s">
        <v>127</v>
      </c>
      <c r="K145" s="137">
        <f t="shared" si="119"/>
        <v>6.3999999999999995</v>
      </c>
      <c r="L145" s="106" t="s">
        <v>147</v>
      </c>
      <c r="M145" s="69">
        <f t="shared" si="120"/>
        <v>39.82716191110752</v>
      </c>
      <c r="N145" s="386" t="s">
        <v>187</v>
      </c>
      <c r="O145" s="148">
        <f t="shared" si="122"/>
        <v>48.279461463425875</v>
      </c>
      <c r="P145" s="266" t="s">
        <v>124</v>
      </c>
      <c r="Q145" s="198">
        <f t="shared" si="123"/>
        <v>1.8809141315654732E-11</v>
      </c>
      <c r="R145" s="200" t="s">
        <v>258</v>
      </c>
      <c r="S145" s="198">
        <f t="shared" si="121"/>
        <v>1.759259259259259</v>
      </c>
      <c r="T145" s="197" t="s">
        <v>340</v>
      </c>
      <c r="U145" s="198">
        <f t="shared" si="124"/>
        <v>4.571428571428571</v>
      </c>
      <c r="V145" s="381" t="s">
        <v>289</v>
      </c>
      <c r="W145" s="393">
        <f t="shared" si="125"/>
        <v>46.450890034854446</v>
      </c>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ht="12.75">
      <c r="A146" s="112" t="str">
        <f t="shared" si="114"/>
        <v>PRB in LLAZ to 50 ug/L; GW recirc in MAAZ to 50 ug/L</v>
      </c>
      <c r="B146" s="100" t="s">
        <v>124</v>
      </c>
      <c r="C146" s="137">
        <f t="shared" si="115"/>
        <v>1.8809141315654732E-11</v>
      </c>
      <c r="D146" s="102" t="s">
        <v>170</v>
      </c>
      <c r="E146" s="69">
        <f t="shared" si="116"/>
        <v>0.14652014652014653</v>
      </c>
      <c r="F146" s="104" t="s">
        <v>125</v>
      </c>
      <c r="G146" s="137">
        <f t="shared" si="117"/>
        <v>1.759259259259259</v>
      </c>
      <c r="H146" s="106" t="s">
        <v>126</v>
      </c>
      <c r="I146" s="69">
        <f t="shared" si="118"/>
        <v>0</v>
      </c>
      <c r="J146" s="104" t="s">
        <v>127</v>
      </c>
      <c r="K146" s="137">
        <f t="shared" si="119"/>
        <v>6.3999999999999995</v>
      </c>
      <c r="L146" s="106" t="s">
        <v>147</v>
      </c>
      <c r="M146" s="69">
        <f t="shared" si="120"/>
        <v>129.34083388409144</v>
      </c>
      <c r="N146" s="386" t="s">
        <v>187</v>
      </c>
      <c r="O146" s="148">
        <f t="shared" si="122"/>
        <v>137.64661328988967</v>
      </c>
      <c r="P146" s="266" t="s">
        <v>124</v>
      </c>
      <c r="Q146" s="198">
        <f t="shared" si="123"/>
        <v>1.8809141315654732E-11</v>
      </c>
      <c r="R146" s="200" t="s">
        <v>258</v>
      </c>
      <c r="S146" s="198">
        <f t="shared" si="121"/>
        <v>1.759259259259259</v>
      </c>
      <c r="T146" s="197" t="s">
        <v>340</v>
      </c>
      <c r="U146" s="198">
        <f t="shared" si="124"/>
        <v>4.571428571428571</v>
      </c>
      <c r="V146" s="381" t="s">
        <v>289</v>
      </c>
      <c r="W146" s="393">
        <f t="shared" si="125"/>
        <v>135.81804186131825</v>
      </c>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0" ht="12.75">
      <c r="A147" s="112">
        <f t="shared" si="114"/>
      </c>
      <c r="B147" s="100" t="s">
        <v>124</v>
      </c>
      <c r="C147" s="137">
        <f t="shared" si="115"/>
        <v>0</v>
      </c>
      <c r="D147" s="102" t="s">
        <v>170</v>
      </c>
      <c r="E147" s="69">
        <f t="shared" si="116"/>
        <v>0</v>
      </c>
      <c r="F147" s="104" t="s">
        <v>125</v>
      </c>
      <c r="G147" s="137">
        <f t="shared" si="117"/>
        <v>0</v>
      </c>
      <c r="H147" s="106" t="s">
        <v>126</v>
      </c>
      <c r="I147" s="69">
        <f t="shared" si="118"/>
        <v>0</v>
      </c>
      <c r="J147" s="104" t="s">
        <v>127</v>
      </c>
      <c r="K147" s="137">
        <f t="shared" si="119"/>
        <v>0</v>
      </c>
      <c r="L147" s="106" t="s">
        <v>147</v>
      </c>
      <c r="M147" s="69">
        <f>IF(A147="","",M81*M$137)</f>
      </c>
      <c r="N147" s="386" t="s">
        <v>187</v>
      </c>
      <c r="O147" s="148">
        <f t="shared" si="122"/>
      </c>
      <c r="P147" s="266" t="s">
        <v>124</v>
      </c>
      <c r="Q147" s="198">
        <f t="shared" si="123"/>
        <v>0</v>
      </c>
      <c r="R147" s="200" t="s">
        <v>258</v>
      </c>
      <c r="S147" s="198">
        <f t="shared" si="121"/>
        <v>0</v>
      </c>
      <c r="T147" s="197" t="s">
        <v>340</v>
      </c>
      <c r="U147" s="198">
        <f t="shared" si="124"/>
        <v>0</v>
      </c>
      <c r="V147" s="381" t="s">
        <v>289</v>
      </c>
      <c r="W147" s="393">
        <f t="shared" si="125"/>
      </c>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ht="12.75">
      <c r="A148" s="112">
        <f t="shared" si="114"/>
      </c>
      <c r="B148" s="100" t="s">
        <v>124</v>
      </c>
      <c r="C148" s="137">
        <f t="shared" si="115"/>
        <v>0</v>
      </c>
      <c r="D148" s="102" t="s">
        <v>170</v>
      </c>
      <c r="E148" s="69">
        <f t="shared" si="116"/>
        <v>0</v>
      </c>
      <c r="F148" s="104" t="s">
        <v>125</v>
      </c>
      <c r="G148" s="137">
        <f t="shared" si="117"/>
        <v>0</v>
      </c>
      <c r="H148" s="106" t="s">
        <v>126</v>
      </c>
      <c r="I148" s="69">
        <f t="shared" si="118"/>
        <v>0</v>
      </c>
      <c r="J148" s="104" t="s">
        <v>127</v>
      </c>
      <c r="K148" s="137">
        <f t="shared" si="119"/>
        <v>0</v>
      </c>
      <c r="L148" s="106" t="s">
        <v>147</v>
      </c>
      <c r="M148" s="69">
        <f aca="true" t="shared" si="126" ref="M148:M157">IF(A148="","",M82*M$137)</f>
      </c>
      <c r="N148" s="386" t="s">
        <v>187</v>
      </c>
      <c r="O148" s="148">
        <f t="shared" si="122"/>
      </c>
      <c r="P148" s="266" t="s">
        <v>124</v>
      </c>
      <c r="Q148" s="198">
        <f t="shared" si="123"/>
        <v>0</v>
      </c>
      <c r="R148" s="200" t="s">
        <v>258</v>
      </c>
      <c r="S148" s="198">
        <f t="shared" si="121"/>
        <v>0</v>
      </c>
      <c r="T148" s="197" t="s">
        <v>340</v>
      </c>
      <c r="U148" s="198">
        <f t="shared" si="124"/>
        <v>0</v>
      </c>
      <c r="V148" s="381" t="s">
        <v>289</v>
      </c>
      <c r="W148" s="393">
        <f t="shared" si="125"/>
      </c>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0" ht="12.75">
      <c r="A149" s="112">
        <f t="shared" si="114"/>
      </c>
      <c r="B149" s="100" t="s">
        <v>124</v>
      </c>
      <c r="C149" s="137">
        <f t="shared" si="115"/>
        <v>0</v>
      </c>
      <c r="D149" s="102" t="s">
        <v>170</v>
      </c>
      <c r="E149" s="69">
        <f t="shared" si="116"/>
        <v>0</v>
      </c>
      <c r="F149" s="104" t="s">
        <v>125</v>
      </c>
      <c r="G149" s="137">
        <f t="shared" si="117"/>
        <v>0</v>
      </c>
      <c r="H149" s="106" t="s">
        <v>126</v>
      </c>
      <c r="I149" s="69">
        <f t="shared" si="118"/>
        <v>0</v>
      </c>
      <c r="J149" s="104" t="s">
        <v>127</v>
      </c>
      <c r="K149" s="137">
        <f t="shared" si="119"/>
        <v>0</v>
      </c>
      <c r="L149" s="106" t="s">
        <v>147</v>
      </c>
      <c r="M149" s="69">
        <f t="shared" si="126"/>
      </c>
      <c r="N149" s="386" t="s">
        <v>187</v>
      </c>
      <c r="O149" s="148">
        <f t="shared" si="122"/>
      </c>
      <c r="P149" s="266" t="s">
        <v>124</v>
      </c>
      <c r="Q149" s="198">
        <f t="shared" si="123"/>
        <v>0</v>
      </c>
      <c r="R149" s="200" t="s">
        <v>258</v>
      </c>
      <c r="S149" s="198">
        <f t="shared" si="121"/>
        <v>0</v>
      </c>
      <c r="T149" s="197" t="s">
        <v>340</v>
      </c>
      <c r="U149" s="198">
        <f t="shared" si="124"/>
        <v>0</v>
      </c>
      <c r="V149" s="381" t="s">
        <v>289</v>
      </c>
      <c r="W149" s="393">
        <f t="shared" si="125"/>
      </c>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ht="12.75">
      <c r="A150" s="112">
        <f t="shared" si="114"/>
      </c>
      <c r="B150" s="100" t="s">
        <v>124</v>
      </c>
      <c r="C150" s="137">
        <f t="shared" si="115"/>
        <v>0</v>
      </c>
      <c r="D150" s="102" t="s">
        <v>170</v>
      </c>
      <c r="E150" s="69">
        <f t="shared" si="116"/>
        <v>0</v>
      </c>
      <c r="F150" s="104" t="s">
        <v>125</v>
      </c>
      <c r="G150" s="137">
        <f t="shared" si="117"/>
        <v>0</v>
      </c>
      <c r="H150" s="106" t="s">
        <v>126</v>
      </c>
      <c r="I150" s="69">
        <f t="shared" si="118"/>
        <v>0</v>
      </c>
      <c r="J150" s="104" t="s">
        <v>127</v>
      </c>
      <c r="K150" s="137">
        <f t="shared" si="119"/>
        <v>0</v>
      </c>
      <c r="L150" s="106" t="s">
        <v>147</v>
      </c>
      <c r="M150" s="69">
        <f t="shared" si="126"/>
      </c>
      <c r="N150" s="386" t="s">
        <v>187</v>
      </c>
      <c r="O150" s="148">
        <f t="shared" si="122"/>
      </c>
      <c r="P150" s="266" t="s">
        <v>124</v>
      </c>
      <c r="Q150" s="198">
        <f t="shared" si="123"/>
        <v>0</v>
      </c>
      <c r="R150" s="200" t="s">
        <v>258</v>
      </c>
      <c r="S150" s="198">
        <f t="shared" si="121"/>
        <v>0</v>
      </c>
      <c r="T150" s="197" t="s">
        <v>340</v>
      </c>
      <c r="U150" s="198">
        <f t="shared" si="124"/>
        <v>0</v>
      </c>
      <c r="V150" s="381" t="s">
        <v>289</v>
      </c>
      <c r="W150" s="393">
        <f t="shared" si="125"/>
      </c>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row>
    <row r="151" spans="1:60" ht="12.75">
      <c r="A151" s="112">
        <f t="shared" si="114"/>
      </c>
      <c r="B151" s="100" t="s">
        <v>124</v>
      </c>
      <c r="C151" s="137">
        <f t="shared" si="115"/>
        <v>0</v>
      </c>
      <c r="D151" s="102" t="s">
        <v>170</v>
      </c>
      <c r="E151" s="69">
        <f t="shared" si="116"/>
        <v>0</v>
      </c>
      <c r="F151" s="104" t="s">
        <v>125</v>
      </c>
      <c r="G151" s="137">
        <f t="shared" si="117"/>
        <v>0</v>
      </c>
      <c r="H151" s="106" t="s">
        <v>126</v>
      </c>
      <c r="I151" s="69">
        <f t="shared" si="118"/>
        <v>0</v>
      </c>
      <c r="J151" s="104" t="s">
        <v>127</v>
      </c>
      <c r="K151" s="137">
        <f t="shared" si="119"/>
        <v>0</v>
      </c>
      <c r="L151" s="106" t="s">
        <v>147</v>
      </c>
      <c r="M151" s="69">
        <f t="shared" si="126"/>
      </c>
      <c r="N151" s="386" t="s">
        <v>187</v>
      </c>
      <c r="O151" s="148">
        <f t="shared" si="122"/>
      </c>
      <c r="P151" s="266" t="s">
        <v>124</v>
      </c>
      <c r="Q151" s="198">
        <f t="shared" si="123"/>
        <v>0</v>
      </c>
      <c r="R151" s="200" t="s">
        <v>258</v>
      </c>
      <c r="S151" s="198">
        <f t="shared" si="121"/>
        <v>0</v>
      </c>
      <c r="T151" s="197" t="s">
        <v>340</v>
      </c>
      <c r="U151" s="198">
        <f t="shared" si="124"/>
        <v>0</v>
      </c>
      <c r="V151" s="381" t="s">
        <v>289</v>
      </c>
      <c r="W151" s="393">
        <f t="shared" si="125"/>
      </c>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ht="12.75">
      <c r="A152" s="112">
        <f t="shared" si="114"/>
      </c>
      <c r="B152" s="100" t="s">
        <v>124</v>
      </c>
      <c r="C152" s="137">
        <f t="shared" si="115"/>
        <v>0</v>
      </c>
      <c r="D152" s="102" t="s">
        <v>170</v>
      </c>
      <c r="E152" s="69">
        <f t="shared" si="116"/>
        <v>0</v>
      </c>
      <c r="F152" s="104" t="s">
        <v>125</v>
      </c>
      <c r="G152" s="137">
        <f t="shared" si="117"/>
        <v>0</v>
      </c>
      <c r="H152" s="106" t="s">
        <v>126</v>
      </c>
      <c r="I152" s="69">
        <f t="shared" si="118"/>
        <v>0</v>
      </c>
      <c r="J152" s="104" t="s">
        <v>127</v>
      </c>
      <c r="K152" s="137">
        <f t="shared" si="119"/>
        <v>0</v>
      </c>
      <c r="L152" s="106" t="s">
        <v>147</v>
      </c>
      <c r="M152" s="69">
        <f t="shared" si="126"/>
      </c>
      <c r="N152" s="386" t="s">
        <v>187</v>
      </c>
      <c r="O152" s="148">
        <f t="shared" si="122"/>
      </c>
      <c r="P152" s="266" t="s">
        <v>124</v>
      </c>
      <c r="Q152" s="198">
        <f t="shared" si="123"/>
        <v>0</v>
      </c>
      <c r="R152" s="200" t="s">
        <v>258</v>
      </c>
      <c r="S152" s="198">
        <f t="shared" si="121"/>
        <v>0</v>
      </c>
      <c r="T152" s="197" t="s">
        <v>340</v>
      </c>
      <c r="U152" s="198">
        <f t="shared" si="124"/>
        <v>0</v>
      </c>
      <c r="V152" s="381" t="s">
        <v>289</v>
      </c>
      <c r="W152" s="393">
        <f t="shared" si="125"/>
      </c>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0" ht="12.75">
      <c r="A153" s="112">
        <f t="shared" si="114"/>
      </c>
      <c r="B153" s="100" t="s">
        <v>124</v>
      </c>
      <c r="C153" s="137">
        <f t="shared" si="115"/>
        <v>0</v>
      </c>
      <c r="D153" s="102" t="s">
        <v>170</v>
      </c>
      <c r="E153" s="69">
        <f t="shared" si="116"/>
        <v>0</v>
      </c>
      <c r="F153" s="104" t="s">
        <v>125</v>
      </c>
      <c r="G153" s="137">
        <f t="shared" si="117"/>
        <v>0</v>
      </c>
      <c r="H153" s="106" t="s">
        <v>126</v>
      </c>
      <c r="I153" s="69">
        <f t="shared" si="118"/>
        <v>0</v>
      </c>
      <c r="J153" s="104" t="s">
        <v>127</v>
      </c>
      <c r="K153" s="137">
        <f t="shared" si="119"/>
        <v>0</v>
      </c>
      <c r="L153" s="106" t="s">
        <v>147</v>
      </c>
      <c r="M153" s="69">
        <f t="shared" si="126"/>
      </c>
      <c r="N153" s="386" t="s">
        <v>187</v>
      </c>
      <c r="O153" s="148">
        <f t="shared" si="122"/>
      </c>
      <c r="P153" s="266" t="s">
        <v>124</v>
      </c>
      <c r="Q153" s="198">
        <f t="shared" si="123"/>
        <v>0</v>
      </c>
      <c r="R153" s="200" t="s">
        <v>258</v>
      </c>
      <c r="S153" s="198">
        <f t="shared" si="121"/>
        <v>0</v>
      </c>
      <c r="T153" s="197" t="s">
        <v>340</v>
      </c>
      <c r="U153" s="198">
        <f t="shared" si="124"/>
        <v>0</v>
      </c>
      <c r="V153" s="381" t="s">
        <v>289</v>
      </c>
      <c r="W153" s="393">
        <f t="shared" si="125"/>
      </c>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ht="12.75">
      <c r="A154" s="112">
        <f t="shared" si="114"/>
      </c>
      <c r="B154" s="100" t="s">
        <v>124</v>
      </c>
      <c r="C154" s="137">
        <f t="shared" si="115"/>
        <v>0</v>
      </c>
      <c r="D154" s="102" t="s">
        <v>170</v>
      </c>
      <c r="E154" s="69">
        <f t="shared" si="116"/>
        <v>0</v>
      </c>
      <c r="F154" s="104" t="s">
        <v>125</v>
      </c>
      <c r="G154" s="137">
        <f t="shared" si="117"/>
        <v>0</v>
      </c>
      <c r="H154" s="106" t="s">
        <v>126</v>
      </c>
      <c r="I154" s="69">
        <f t="shared" si="118"/>
        <v>0</v>
      </c>
      <c r="J154" s="104" t="s">
        <v>127</v>
      </c>
      <c r="K154" s="137">
        <f t="shared" si="119"/>
        <v>0</v>
      </c>
      <c r="L154" s="106" t="s">
        <v>147</v>
      </c>
      <c r="M154" s="69">
        <f t="shared" si="126"/>
      </c>
      <c r="N154" s="386" t="s">
        <v>187</v>
      </c>
      <c r="O154" s="148">
        <f t="shared" si="122"/>
      </c>
      <c r="P154" s="266" t="s">
        <v>124</v>
      </c>
      <c r="Q154" s="198">
        <f t="shared" si="123"/>
        <v>0</v>
      </c>
      <c r="R154" s="200" t="s">
        <v>258</v>
      </c>
      <c r="S154" s="198">
        <f t="shared" si="121"/>
        <v>0</v>
      </c>
      <c r="T154" s="197" t="s">
        <v>340</v>
      </c>
      <c r="U154" s="198">
        <f t="shared" si="124"/>
        <v>0</v>
      </c>
      <c r="V154" s="381" t="s">
        <v>289</v>
      </c>
      <c r="W154" s="393">
        <f t="shared" si="125"/>
      </c>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row>
    <row r="155" spans="1:60" ht="12.75">
      <c r="A155" s="112">
        <f t="shared" si="114"/>
      </c>
      <c r="B155" s="100" t="s">
        <v>124</v>
      </c>
      <c r="C155" s="137">
        <f t="shared" si="115"/>
        <v>0</v>
      </c>
      <c r="D155" s="102" t="s">
        <v>170</v>
      </c>
      <c r="E155" s="69">
        <f t="shared" si="116"/>
        <v>0</v>
      </c>
      <c r="F155" s="104" t="s">
        <v>125</v>
      </c>
      <c r="G155" s="137">
        <f t="shared" si="117"/>
        <v>0</v>
      </c>
      <c r="H155" s="106" t="s">
        <v>126</v>
      </c>
      <c r="I155" s="69">
        <f t="shared" si="118"/>
        <v>0</v>
      </c>
      <c r="J155" s="104" t="s">
        <v>127</v>
      </c>
      <c r="K155" s="137">
        <f t="shared" si="119"/>
        <v>0</v>
      </c>
      <c r="L155" s="106" t="s">
        <v>147</v>
      </c>
      <c r="M155" s="69">
        <f t="shared" si="126"/>
      </c>
      <c r="N155" s="386" t="s">
        <v>187</v>
      </c>
      <c r="O155" s="148">
        <f t="shared" si="122"/>
      </c>
      <c r="P155" s="266" t="s">
        <v>124</v>
      </c>
      <c r="Q155" s="198">
        <f t="shared" si="123"/>
        <v>0</v>
      </c>
      <c r="R155" s="200" t="s">
        <v>258</v>
      </c>
      <c r="S155" s="198">
        <f t="shared" si="121"/>
        <v>0</v>
      </c>
      <c r="T155" s="197" t="s">
        <v>340</v>
      </c>
      <c r="U155" s="198">
        <f t="shared" si="124"/>
        <v>0</v>
      </c>
      <c r="V155" s="381" t="s">
        <v>289</v>
      </c>
      <c r="W155" s="393">
        <f t="shared" si="125"/>
      </c>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ht="12.75">
      <c r="A156" s="112">
        <f t="shared" si="114"/>
      </c>
      <c r="B156" s="100" t="s">
        <v>124</v>
      </c>
      <c r="C156" s="137">
        <f t="shared" si="115"/>
        <v>0</v>
      </c>
      <c r="D156" s="102" t="s">
        <v>170</v>
      </c>
      <c r="E156" s="69">
        <f t="shared" si="116"/>
        <v>0</v>
      </c>
      <c r="F156" s="104" t="s">
        <v>125</v>
      </c>
      <c r="G156" s="137">
        <f t="shared" si="117"/>
        <v>0</v>
      </c>
      <c r="H156" s="106" t="s">
        <v>126</v>
      </c>
      <c r="I156" s="69">
        <f t="shared" si="118"/>
        <v>0</v>
      </c>
      <c r="J156" s="104" t="s">
        <v>127</v>
      </c>
      <c r="K156" s="137">
        <f t="shared" si="119"/>
        <v>0</v>
      </c>
      <c r="L156" s="106" t="s">
        <v>147</v>
      </c>
      <c r="M156" s="69">
        <f t="shared" si="126"/>
      </c>
      <c r="N156" s="386" t="s">
        <v>187</v>
      </c>
      <c r="O156" s="148">
        <f t="shared" si="122"/>
      </c>
      <c r="P156" s="266" t="s">
        <v>124</v>
      </c>
      <c r="Q156" s="198">
        <f t="shared" si="123"/>
        <v>0</v>
      </c>
      <c r="R156" s="200" t="s">
        <v>258</v>
      </c>
      <c r="S156" s="198">
        <f t="shared" si="121"/>
        <v>0</v>
      </c>
      <c r="T156" s="197" t="s">
        <v>340</v>
      </c>
      <c r="U156" s="198">
        <f t="shared" si="124"/>
        <v>0</v>
      </c>
      <c r="V156" s="381" t="s">
        <v>289</v>
      </c>
      <c r="W156" s="393">
        <f t="shared" si="125"/>
      </c>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row>
    <row r="157" spans="1:60" ht="12.75">
      <c r="A157" s="112">
        <f t="shared" si="114"/>
      </c>
      <c r="B157" s="101" t="s">
        <v>124</v>
      </c>
      <c r="C157" s="138">
        <f t="shared" si="115"/>
        <v>0</v>
      </c>
      <c r="D157" s="103" t="s">
        <v>170</v>
      </c>
      <c r="E157" s="130">
        <f t="shared" si="116"/>
        <v>0</v>
      </c>
      <c r="F157" s="105" t="s">
        <v>125</v>
      </c>
      <c r="G157" s="138">
        <f t="shared" si="117"/>
        <v>0</v>
      </c>
      <c r="H157" s="107" t="s">
        <v>126</v>
      </c>
      <c r="I157" s="130">
        <f t="shared" si="118"/>
        <v>0</v>
      </c>
      <c r="J157" s="105" t="s">
        <v>127</v>
      </c>
      <c r="K157" s="138">
        <f t="shared" si="119"/>
        <v>0</v>
      </c>
      <c r="L157" s="107" t="s">
        <v>147</v>
      </c>
      <c r="M157" s="69">
        <f t="shared" si="126"/>
      </c>
      <c r="N157" s="387" t="s">
        <v>187</v>
      </c>
      <c r="O157" s="148">
        <f t="shared" si="122"/>
      </c>
      <c r="P157" s="267" t="s">
        <v>124</v>
      </c>
      <c r="Q157" s="369">
        <f t="shared" si="123"/>
        <v>0</v>
      </c>
      <c r="R157" s="368" t="s">
        <v>258</v>
      </c>
      <c r="S157" s="369">
        <f t="shared" si="121"/>
        <v>0</v>
      </c>
      <c r="T157" s="382" t="s">
        <v>340</v>
      </c>
      <c r="U157" s="369">
        <f t="shared" si="124"/>
        <v>0</v>
      </c>
      <c r="V157" s="383" t="s">
        <v>289</v>
      </c>
      <c r="W157" s="393">
        <f t="shared" si="125"/>
      </c>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53" ht="12.75">
      <c r="A158" s="47"/>
      <c r="B158" s="52"/>
      <c r="C158" s="56"/>
      <c r="D158" s="56"/>
      <c r="E158" s="56"/>
      <c r="F158" s="56"/>
      <c r="G158" s="56"/>
      <c r="H158" s="56"/>
      <c r="I158" s="56"/>
      <c r="J158" s="56"/>
      <c r="K158" s="56"/>
      <c r="L158" s="56"/>
      <c r="M158" s="56"/>
      <c r="N158" s="2"/>
      <c r="O158"/>
      <c r="R158"/>
      <c r="S158"/>
      <c r="V158"/>
      <c r="W158"/>
      <c r="X158"/>
      <c r="Y158"/>
      <c r="Z158"/>
      <c r="AA158"/>
      <c r="AB158"/>
      <c r="AC158"/>
      <c r="AD158"/>
      <c r="AE158"/>
      <c r="AF158"/>
      <c r="AG158"/>
      <c r="AH158"/>
      <c r="AI158"/>
      <c r="AJ158"/>
      <c r="AK158"/>
      <c r="AL158"/>
      <c r="AM158"/>
      <c r="AN158"/>
      <c r="AO158"/>
      <c r="AP158"/>
      <c r="AQ158"/>
      <c r="AR158"/>
      <c r="AS158"/>
      <c r="AT158"/>
      <c r="AU158"/>
      <c r="AV158"/>
      <c r="AW158"/>
      <c r="AY158" s="4"/>
      <c r="AZ158" s="4"/>
      <c r="BA158" s="4"/>
    </row>
    <row r="159" spans="1:60" ht="12.75">
      <c r="A159" s="111" t="s">
        <v>211</v>
      </c>
      <c r="B159" s="264" t="s">
        <v>181</v>
      </c>
      <c r="C159" s="265">
        <f>'User-specified Weights'!w_HS</f>
        <v>0.2555583950932788</v>
      </c>
      <c r="D159" s="115" t="s">
        <v>181</v>
      </c>
      <c r="E159" s="136">
        <f>'User-specified Weights'!w_HS</f>
        <v>0.2555583950932788</v>
      </c>
      <c r="F159" s="351" t="s">
        <v>182</v>
      </c>
      <c r="G159" s="354">
        <f>'User-specified Weights'!w_Env</f>
        <v>0.516795865633075</v>
      </c>
      <c r="H159" s="115" t="s">
        <v>183</v>
      </c>
      <c r="I159" s="136">
        <f>'User-specified Weights'!w_RR</f>
        <v>0.09302325581395349</v>
      </c>
      <c r="J159" s="358" t="s">
        <v>184</v>
      </c>
      <c r="K159" s="359">
        <f>'User-specified Weights'!w_Time</f>
        <v>0.46511627906976744</v>
      </c>
      <c r="L159" s="97" t="s">
        <v>185</v>
      </c>
      <c r="M159" s="136">
        <f>w_Cost</f>
        <v>0.23255813953488372</v>
      </c>
      <c r="N159" s="118" t="s">
        <v>261</v>
      </c>
      <c r="O159" s="149"/>
      <c r="P159" s="391" t="str">
        <f>P138</f>
        <v>V(Public Health &amp; Safety) 
(user-specified) </v>
      </c>
      <c r="Q159" s="265">
        <f>'User-specified Weights'!w_HS</f>
        <v>0.2555583950932788</v>
      </c>
      <c r="R159" s="199" t="s">
        <v>182</v>
      </c>
      <c r="S159" s="202">
        <f>'User-specified Weights'!w_Env</f>
        <v>0.516795865633075</v>
      </c>
      <c r="T159" s="358" t="s">
        <v>184</v>
      </c>
      <c r="U159" s="359">
        <f>'User-specified Weights'!w_Time</f>
        <v>0.46511627906976744</v>
      </c>
      <c r="V159" s="118" t="s">
        <v>346</v>
      </c>
      <c r="W159" s="392"/>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0" ht="12.75">
      <c r="A160" s="113" t="str">
        <f>A138</f>
        <v>No action</v>
      </c>
      <c r="B160" s="266" t="s">
        <v>363</v>
      </c>
      <c r="C160" s="198">
        <f>(E50+J50+O50+T50)*C$159</f>
        <v>0.00016403320914815174</v>
      </c>
      <c r="D160" s="102" t="str">
        <f>D138</f>
        <v>V(Worker Safety) </v>
      </c>
      <c r="E160" s="69">
        <f aca="true" t="shared" si="127" ref="E160:E179">E72*E$159</f>
        <v>0</v>
      </c>
      <c r="F160" s="352" t="s">
        <v>316</v>
      </c>
      <c r="G160" s="355">
        <f aca="true" t="shared" si="128" ref="G160:G179">S72*G$159</f>
        <v>6.136950904392766</v>
      </c>
      <c r="H160" s="106" t="str">
        <f>H138</f>
        <v>V(Reg. resposniveness)</v>
      </c>
      <c r="I160" s="69">
        <f aca="true" t="shared" si="129" ref="I160:I179">I72*I$159</f>
        <v>93023255.81395349</v>
      </c>
      <c r="J160" s="352" t="s">
        <v>319</v>
      </c>
      <c r="K160" s="360">
        <f>AZ27*K$159</f>
        <v>2.8571428571428568</v>
      </c>
      <c r="L160" s="106" t="str">
        <f>L138</f>
        <v>V(Total cost)</v>
      </c>
      <c r="M160" s="69">
        <f>IF(A160="","",M72*M$159)</f>
        <v>0</v>
      </c>
      <c r="N160" s="385" t="s">
        <v>358</v>
      </c>
      <c r="O160" s="148">
        <f>IF(A160="","",M160+K160+I160+G160+E160+C160)</f>
        <v>93023264.80821128</v>
      </c>
      <c r="P160" s="371" t="s">
        <v>343</v>
      </c>
      <c r="Q160" s="198">
        <f>Q72*Q$159</f>
        <v>0.00016403320914815174</v>
      </c>
      <c r="R160" s="200" t="str">
        <f>R138</f>
        <v>V(Env impact) 
(user-specified)</v>
      </c>
      <c r="S160" s="198">
        <f aca="true" t="shared" si="130" ref="S160:S179">S72*S$159</f>
        <v>6.136950904392766</v>
      </c>
      <c r="T160" s="363" t="s">
        <v>344</v>
      </c>
      <c r="U160" s="198">
        <f>U72*U$159</f>
        <v>2.8571428571428568</v>
      </c>
      <c r="V160" s="380" t="s">
        <v>364</v>
      </c>
      <c r="W160" s="393">
        <f>IF(A160="","",M160+U160+I160+S160+E160+Q160)</f>
        <v>93023264.80821128</v>
      </c>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12.75">
      <c r="A161" s="112" t="str">
        <f>A139</f>
        <v>MNA in MAAZ &amp; LLAZ</v>
      </c>
      <c r="B161" s="266" t="s">
        <v>124</v>
      </c>
      <c r="C161" s="198">
        <f aca="true" t="shared" si="131" ref="C161:C179">(E51+J51+O51+T51)*C$159</f>
        <v>3.280664182963034E-10</v>
      </c>
      <c r="D161" s="102" t="s">
        <v>170</v>
      </c>
      <c r="E161" s="69">
        <f t="shared" si="127"/>
        <v>0.005111167901865577</v>
      </c>
      <c r="F161" s="352" t="s">
        <v>125</v>
      </c>
      <c r="G161" s="355">
        <f t="shared" si="128"/>
        <v>6.136950904392766</v>
      </c>
      <c r="H161" s="106" t="s">
        <v>126</v>
      </c>
      <c r="I161" s="69">
        <f t="shared" si="129"/>
        <v>5.5813953488372094</v>
      </c>
      <c r="J161" s="352" t="s">
        <v>127</v>
      </c>
      <c r="K161" s="360">
        <f aca="true" t="shared" si="132" ref="K161:K179">AZ28*K$159</f>
        <v>2.8571428571428568</v>
      </c>
      <c r="L161" s="106" t="s">
        <v>147</v>
      </c>
      <c r="M161" s="69">
        <f aca="true" t="shared" si="133" ref="M161:M179">IF(A161="","",M73*M$159)</f>
        <v>17.315120490473284</v>
      </c>
      <c r="N161" s="386" t="s">
        <v>187</v>
      </c>
      <c r="O161" s="148">
        <f aca="true" t="shared" si="134" ref="O161:O179">IF(A161="","",M161+K161+I161+G161+E161+C161)</f>
        <v>31.895720769076046</v>
      </c>
      <c r="P161" s="266" t="s">
        <v>124</v>
      </c>
      <c r="Q161" s="198">
        <f aca="true" t="shared" si="135" ref="Q161:Q179">Q73*Q$159</f>
        <v>3.280664182963034E-10</v>
      </c>
      <c r="R161" s="200" t="s">
        <v>258</v>
      </c>
      <c r="S161" s="198">
        <f t="shared" si="130"/>
        <v>6.136950904392766</v>
      </c>
      <c r="T161" s="197" t="s">
        <v>340</v>
      </c>
      <c r="U161" s="198">
        <f aca="true" t="shared" si="136" ref="U161:U179">U73*U$159</f>
        <v>2.8571428571428568</v>
      </c>
      <c r="V161" s="381" t="s">
        <v>289</v>
      </c>
      <c r="W161" s="393">
        <f aca="true" t="shared" si="137" ref="W161:W179">IF(A161="","",M161+U161+I161+S161+E161+Q161)</f>
        <v>31.895720769076046</v>
      </c>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12.75">
      <c r="A162" s="112" t="str">
        <f aca="true" t="shared" si="138" ref="A162:A179">A140</f>
        <v>Operate existing gw recirc wells to 50 ug/L; MNA in residual</v>
      </c>
      <c r="B162" s="266" t="s">
        <v>124</v>
      </c>
      <c r="C162" s="198">
        <f t="shared" si="131"/>
        <v>3.280664182963034E-10</v>
      </c>
      <c r="D162" s="102" t="s">
        <v>170</v>
      </c>
      <c r="E162" s="69">
        <f t="shared" si="127"/>
        <v>0.005111167901865577</v>
      </c>
      <c r="F162" s="352" t="s">
        <v>125</v>
      </c>
      <c r="G162" s="355">
        <f t="shared" si="128"/>
        <v>3.068475452196383</v>
      </c>
      <c r="H162" s="106" t="s">
        <v>126</v>
      </c>
      <c r="I162" s="69">
        <f t="shared" si="129"/>
        <v>2.7906976744186047</v>
      </c>
      <c r="J162" s="352" t="s">
        <v>127</v>
      </c>
      <c r="K162" s="360">
        <f t="shared" si="132"/>
        <v>1.9933554817275747</v>
      </c>
      <c r="L162" s="106" t="s">
        <v>147</v>
      </c>
      <c r="M162" s="69">
        <f t="shared" si="133"/>
        <v>27.50197981658799</v>
      </c>
      <c r="N162" s="386" t="s">
        <v>187</v>
      </c>
      <c r="O162" s="148">
        <f t="shared" si="134"/>
        <v>35.35961959316048</v>
      </c>
      <c r="P162" s="266" t="s">
        <v>124</v>
      </c>
      <c r="Q162" s="198">
        <f t="shared" si="135"/>
        <v>3.280664182963034E-10</v>
      </c>
      <c r="R162" s="200" t="s">
        <v>258</v>
      </c>
      <c r="S162" s="198">
        <f t="shared" si="130"/>
        <v>3.068475452196383</v>
      </c>
      <c r="T162" s="197" t="s">
        <v>340</v>
      </c>
      <c r="U162" s="198">
        <f t="shared" si="136"/>
        <v>1.9933554817275747</v>
      </c>
      <c r="V162" s="381" t="s">
        <v>289</v>
      </c>
      <c r="W162" s="393">
        <f t="shared" si="137"/>
        <v>35.35961959316048</v>
      </c>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ht="12.75">
      <c r="A163" s="112" t="str">
        <f t="shared" si="138"/>
        <v>GW recirc in LLAZ to 50 ug/L; MNA in MAAZ</v>
      </c>
      <c r="B163" s="266" t="s">
        <v>124</v>
      </c>
      <c r="C163" s="198">
        <f t="shared" si="131"/>
        <v>3.280664182963035E-11</v>
      </c>
      <c r="D163" s="102" t="s">
        <v>170</v>
      </c>
      <c r="E163" s="69">
        <f t="shared" si="127"/>
        <v>0.051111679018655765</v>
      </c>
      <c r="F163" s="352" t="s">
        <v>125</v>
      </c>
      <c r="G163" s="355">
        <f t="shared" si="128"/>
        <v>3.068475452196383</v>
      </c>
      <c r="H163" s="106" t="s">
        <v>126</v>
      </c>
      <c r="I163" s="69">
        <f t="shared" si="129"/>
        <v>0</v>
      </c>
      <c r="J163" s="352" t="s">
        <v>127</v>
      </c>
      <c r="K163" s="360">
        <f t="shared" si="132"/>
        <v>1.9933554817275747</v>
      </c>
      <c r="L163" s="106" t="s">
        <v>147</v>
      </c>
      <c r="M163" s="69">
        <f t="shared" si="133"/>
        <v>36.72858158029089</v>
      </c>
      <c r="N163" s="386" t="s">
        <v>187</v>
      </c>
      <c r="O163" s="148">
        <f t="shared" si="134"/>
        <v>41.84152419326631</v>
      </c>
      <c r="P163" s="266" t="s">
        <v>124</v>
      </c>
      <c r="Q163" s="198">
        <f t="shared" si="135"/>
        <v>3.280664182963035E-11</v>
      </c>
      <c r="R163" s="200" t="s">
        <v>258</v>
      </c>
      <c r="S163" s="198">
        <f t="shared" si="130"/>
        <v>3.068475452196383</v>
      </c>
      <c r="T163" s="197" t="s">
        <v>340</v>
      </c>
      <c r="U163" s="198">
        <f t="shared" si="136"/>
        <v>1.9933554817275747</v>
      </c>
      <c r="V163" s="381" t="s">
        <v>289</v>
      </c>
      <c r="W163" s="393">
        <f t="shared" si="137"/>
        <v>41.84152419326631</v>
      </c>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0" ht="12.75">
      <c r="A164" s="112" t="str">
        <f t="shared" si="138"/>
        <v>ChemOx in LLAZ to 50 ug/L; MNA in MAAZ</v>
      </c>
      <c r="B164" s="266" t="s">
        <v>124</v>
      </c>
      <c r="C164" s="198">
        <f t="shared" si="131"/>
        <v>3.280664182963035E-11</v>
      </c>
      <c r="D164" s="102" t="s">
        <v>170</v>
      </c>
      <c r="E164" s="69">
        <f t="shared" si="127"/>
        <v>0.5111167901865576</v>
      </c>
      <c r="F164" s="352" t="s">
        <v>125</v>
      </c>
      <c r="G164" s="355">
        <f t="shared" si="128"/>
        <v>3.068475452196383</v>
      </c>
      <c r="H164" s="106" t="s">
        <v>126</v>
      </c>
      <c r="I164" s="69">
        <f t="shared" si="129"/>
        <v>0</v>
      </c>
      <c r="J164" s="352" t="s">
        <v>127</v>
      </c>
      <c r="K164" s="360">
        <f t="shared" si="132"/>
        <v>1.661129568106312</v>
      </c>
      <c r="L164" s="106" t="s">
        <v>147</v>
      </c>
      <c r="M164" s="69">
        <f t="shared" si="133"/>
        <v>61.283128444823035</v>
      </c>
      <c r="N164" s="386" t="s">
        <v>187</v>
      </c>
      <c r="O164" s="148">
        <f t="shared" si="134"/>
        <v>66.52385025534511</v>
      </c>
      <c r="P164" s="266" t="s">
        <v>124</v>
      </c>
      <c r="Q164" s="198">
        <f t="shared" si="135"/>
        <v>3.280664182963035E-11</v>
      </c>
      <c r="R164" s="200" t="s">
        <v>258</v>
      </c>
      <c r="S164" s="198">
        <f t="shared" si="130"/>
        <v>3.068475452196383</v>
      </c>
      <c r="T164" s="197" t="s">
        <v>340</v>
      </c>
      <c r="U164" s="198">
        <f t="shared" si="136"/>
        <v>1.661129568106312</v>
      </c>
      <c r="V164" s="381" t="s">
        <v>289</v>
      </c>
      <c r="W164" s="393">
        <f t="shared" si="137"/>
        <v>66.52385025534511</v>
      </c>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0" ht="12.75">
      <c r="A165" s="112" t="str">
        <f t="shared" si="138"/>
        <v>PRB in LLAZ to 50 ug/L; MNA in MAAZ</v>
      </c>
      <c r="B165" s="266" t="s">
        <v>124</v>
      </c>
      <c r="C165" s="198">
        <f t="shared" si="131"/>
        <v>3.280664182963035E-11</v>
      </c>
      <c r="D165" s="102" t="s">
        <v>170</v>
      </c>
      <c r="E165" s="69">
        <f t="shared" si="127"/>
        <v>0.2555583950932788</v>
      </c>
      <c r="F165" s="352" t="s">
        <v>125</v>
      </c>
      <c r="G165" s="355">
        <f t="shared" si="128"/>
        <v>3.068475452196383</v>
      </c>
      <c r="H165" s="106" t="s">
        <v>126</v>
      </c>
      <c r="I165" s="69">
        <f t="shared" si="129"/>
        <v>0</v>
      </c>
      <c r="J165" s="352" t="s">
        <v>127</v>
      </c>
      <c r="K165" s="360">
        <f t="shared" si="132"/>
        <v>1.661129568106312</v>
      </c>
      <c r="L165" s="106" t="s">
        <v>147</v>
      </c>
      <c r="M165" s="69">
        <f t="shared" si="133"/>
        <v>215.02148306259383</v>
      </c>
      <c r="N165" s="386" t="s">
        <v>187</v>
      </c>
      <c r="O165" s="148">
        <f t="shared" si="134"/>
        <v>220.00664647802262</v>
      </c>
      <c r="P165" s="266" t="s">
        <v>124</v>
      </c>
      <c r="Q165" s="198">
        <f t="shared" si="135"/>
        <v>3.280664182963035E-11</v>
      </c>
      <c r="R165" s="200" t="s">
        <v>258</v>
      </c>
      <c r="S165" s="198">
        <f t="shared" si="130"/>
        <v>3.068475452196383</v>
      </c>
      <c r="T165" s="197" t="s">
        <v>340</v>
      </c>
      <c r="U165" s="198">
        <f t="shared" si="136"/>
        <v>1.661129568106312</v>
      </c>
      <c r="V165" s="381" t="s">
        <v>289</v>
      </c>
      <c r="W165" s="393">
        <f t="shared" si="137"/>
        <v>220.00664647802262</v>
      </c>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0" ht="12.75">
      <c r="A166" s="112" t="str">
        <f t="shared" si="138"/>
        <v>GW recirc in LLAZ &amp; MAAZ to 50 ug/L</v>
      </c>
      <c r="B166" s="266" t="s">
        <v>124</v>
      </c>
      <c r="C166" s="198">
        <f t="shared" si="131"/>
        <v>3.280664182963035E-11</v>
      </c>
      <c r="D166" s="102" t="s">
        <v>170</v>
      </c>
      <c r="E166" s="69">
        <f t="shared" si="127"/>
        <v>0.051111679018655765</v>
      </c>
      <c r="F166" s="352" t="s">
        <v>125</v>
      </c>
      <c r="G166" s="355">
        <f t="shared" si="128"/>
        <v>3.068475452196383</v>
      </c>
      <c r="H166" s="106" t="s">
        <v>126</v>
      </c>
      <c r="I166" s="69">
        <f t="shared" si="129"/>
        <v>0</v>
      </c>
      <c r="J166" s="352" t="s">
        <v>127</v>
      </c>
      <c r="K166" s="360">
        <f t="shared" si="132"/>
        <v>1.794019933554817</v>
      </c>
      <c r="L166" s="106" t="s">
        <v>147</v>
      </c>
      <c r="M166" s="69">
        <f t="shared" si="133"/>
        <v>44.862826857652315</v>
      </c>
      <c r="N166" s="386" t="s">
        <v>187</v>
      </c>
      <c r="O166" s="148">
        <f t="shared" si="134"/>
        <v>49.77643392245497</v>
      </c>
      <c r="P166" s="266" t="s">
        <v>124</v>
      </c>
      <c r="Q166" s="198">
        <f t="shared" si="135"/>
        <v>3.280664182963035E-11</v>
      </c>
      <c r="R166" s="200" t="s">
        <v>258</v>
      </c>
      <c r="S166" s="198">
        <f t="shared" si="130"/>
        <v>3.068475452196383</v>
      </c>
      <c r="T166" s="197" t="s">
        <v>340</v>
      </c>
      <c r="U166" s="198">
        <f t="shared" si="136"/>
        <v>1.794019933554817</v>
      </c>
      <c r="V166" s="381" t="s">
        <v>289</v>
      </c>
      <c r="W166" s="393">
        <f t="shared" si="137"/>
        <v>49.77643392245497</v>
      </c>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0" ht="12.75">
      <c r="A167" s="112" t="str">
        <f t="shared" si="138"/>
        <v>ChemOx in LLAZ to 50 ug/L; GW recirc in MAAZ to 50 ug/L</v>
      </c>
      <c r="B167" s="266" t="s">
        <v>124</v>
      </c>
      <c r="C167" s="198">
        <f t="shared" si="131"/>
        <v>3.280664182963035E-11</v>
      </c>
      <c r="D167" s="102" t="s">
        <v>170</v>
      </c>
      <c r="E167" s="69">
        <f t="shared" si="127"/>
        <v>0.5111167901865576</v>
      </c>
      <c r="F167" s="352" t="s">
        <v>125</v>
      </c>
      <c r="G167" s="355">
        <f t="shared" si="128"/>
        <v>3.068475452196383</v>
      </c>
      <c r="H167" s="106" t="s">
        <v>126</v>
      </c>
      <c r="I167" s="69">
        <f t="shared" si="129"/>
        <v>0</v>
      </c>
      <c r="J167" s="352" t="s">
        <v>127</v>
      </c>
      <c r="K167" s="360">
        <f t="shared" si="132"/>
        <v>1.5946843853820596</v>
      </c>
      <c r="L167" s="106" t="s">
        <v>147</v>
      </c>
      <c r="M167" s="69">
        <f t="shared" si="133"/>
        <v>69.46598007751311</v>
      </c>
      <c r="N167" s="386" t="s">
        <v>187</v>
      </c>
      <c r="O167" s="148">
        <f t="shared" si="134"/>
        <v>74.64025670531093</v>
      </c>
      <c r="P167" s="266" t="s">
        <v>124</v>
      </c>
      <c r="Q167" s="198">
        <f t="shared" si="135"/>
        <v>3.280664182963035E-11</v>
      </c>
      <c r="R167" s="200" t="s">
        <v>258</v>
      </c>
      <c r="S167" s="198">
        <f t="shared" si="130"/>
        <v>3.068475452196383</v>
      </c>
      <c r="T167" s="197" t="s">
        <v>340</v>
      </c>
      <c r="U167" s="198">
        <f t="shared" si="136"/>
        <v>1.5946843853820596</v>
      </c>
      <c r="V167" s="381" t="s">
        <v>289</v>
      </c>
      <c r="W167" s="393">
        <f t="shared" si="137"/>
        <v>74.64025670531093</v>
      </c>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ht="12.75">
      <c r="A168" s="112" t="str">
        <f t="shared" si="138"/>
        <v>PRB in LLAZ to 50 ug/L; GW recirc in MAAZ to 50 ug/L</v>
      </c>
      <c r="B168" s="266" t="s">
        <v>124</v>
      </c>
      <c r="C168" s="198">
        <f t="shared" si="131"/>
        <v>3.280664182963035E-11</v>
      </c>
      <c r="D168" s="102" t="s">
        <v>170</v>
      </c>
      <c r="E168" s="69">
        <f t="shared" si="127"/>
        <v>0.2555583950932788</v>
      </c>
      <c r="F168" s="352" t="s">
        <v>125</v>
      </c>
      <c r="G168" s="355">
        <f t="shared" si="128"/>
        <v>3.068475452196383</v>
      </c>
      <c r="H168" s="106" t="s">
        <v>126</v>
      </c>
      <c r="I168" s="69">
        <f t="shared" si="129"/>
        <v>0</v>
      </c>
      <c r="J168" s="352" t="s">
        <v>127</v>
      </c>
      <c r="K168" s="360">
        <f t="shared" si="132"/>
        <v>1.5946843853820596</v>
      </c>
      <c r="L168" s="106" t="s">
        <v>147</v>
      </c>
      <c r="M168" s="69">
        <f t="shared" si="133"/>
        <v>225.59447770481066</v>
      </c>
      <c r="N168" s="386" t="s">
        <v>187</v>
      </c>
      <c r="O168" s="148">
        <f t="shared" si="134"/>
        <v>230.5131959375152</v>
      </c>
      <c r="P168" s="266" t="s">
        <v>124</v>
      </c>
      <c r="Q168" s="198">
        <f t="shared" si="135"/>
        <v>3.280664182963035E-11</v>
      </c>
      <c r="R168" s="200" t="s">
        <v>258</v>
      </c>
      <c r="S168" s="198">
        <f t="shared" si="130"/>
        <v>3.068475452196383</v>
      </c>
      <c r="T168" s="197" t="s">
        <v>340</v>
      </c>
      <c r="U168" s="198">
        <f t="shared" si="136"/>
        <v>1.5946843853820596</v>
      </c>
      <c r="V168" s="381" t="s">
        <v>289</v>
      </c>
      <c r="W168" s="393">
        <f t="shared" si="137"/>
        <v>230.5131959375152</v>
      </c>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row>
    <row r="169" spans="1:60" ht="12.75">
      <c r="A169" s="112">
        <f t="shared" si="138"/>
      </c>
      <c r="B169" s="266" t="s">
        <v>124</v>
      </c>
      <c r="C169" s="198">
        <f t="shared" si="131"/>
        <v>0</v>
      </c>
      <c r="D169" s="102" t="s">
        <v>170</v>
      </c>
      <c r="E169" s="69">
        <f t="shared" si="127"/>
        <v>0</v>
      </c>
      <c r="F169" s="352" t="s">
        <v>125</v>
      </c>
      <c r="G169" s="355">
        <f t="shared" si="128"/>
        <v>0</v>
      </c>
      <c r="H169" s="106" t="s">
        <v>126</v>
      </c>
      <c r="I169" s="69">
        <f t="shared" si="129"/>
        <v>0</v>
      </c>
      <c r="J169" s="352" t="s">
        <v>127</v>
      </c>
      <c r="K169" s="360">
        <f t="shared" si="132"/>
        <v>0</v>
      </c>
      <c r="L169" s="106" t="s">
        <v>147</v>
      </c>
      <c r="M169" s="69">
        <f t="shared" si="133"/>
      </c>
      <c r="N169" s="386" t="s">
        <v>187</v>
      </c>
      <c r="O169" s="148">
        <f t="shared" si="134"/>
      </c>
      <c r="P169" s="266" t="s">
        <v>124</v>
      </c>
      <c r="Q169" s="198">
        <f t="shared" si="135"/>
        <v>0</v>
      </c>
      <c r="R169" s="200" t="s">
        <v>258</v>
      </c>
      <c r="S169" s="198">
        <f t="shared" si="130"/>
        <v>0</v>
      </c>
      <c r="T169" s="197" t="s">
        <v>340</v>
      </c>
      <c r="U169" s="198">
        <f t="shared" si="136"/>
        <v>0</v>
      </c>
      <c r="V169" s="381" t="s">
        <v>289</v>
      </c>
      <c r="W169" s="393">
        <f t="shared" si="137"/>
      </c>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12.75">
      <c r="A170" s="112">
        <f t="shared" si="138"/>
      </c>
      <c r="B170" s="266" t="s">
        <v>124</v>
      </c>
      <c r="C170" s="198">
        <f t="shared" si="131"/>
        <v>0</v>
      </c>
      <c r="D170" s="102" t="s">
        <v>170</v>
      </c>
      <c r="E170" s="69">
        <f t="shared" si="127"/>
        <v>0</v>
      </c>
      <c r="F170" s="352" t="s">
        <v>125</v>
      </c>
      <c r="G170" s="355">
        <f t="shared" si="128"/>
        <v>0</v>
      </c>
      <c r="H170" s="106" t="s">
        <v>126</v>
      </c>
      <c r="I170" s="69">
        <f t="shared" si="129"/>
        <v>0</v>
      </c>
      <c r="J170" s="352" t="s">
        <v>127</v>
      </c>
      <c r="K170" s="360">
        <f t="shared" si="132"/>
        <v>0</v>
      </c>
      <c r="L170" s="106" t="s">
        <v>147</v>
      </c>
      <c r="M170" s="69">
        <f t="shared" si="133"/>
      </c>
      <c r="N170" s="386" t="s">
        <v>187</v>
      </c>
      <c r="O170" s="148">
        <f t="shared" si="134"/>
      </c>
      <c r="P170" s="266" t="s">
        <v>124</v>
      </c>
      <c r="Q170" s="198">
        <f t="shared" si="135"/>
        <v>0</v>
      </c>
      <c r="R170" s="200" t="s">
        <v>258</v>
      </c>
      <c r="S170" s="198">
        <f t="shared" si="130"/>
        <v>0</v>
      </c>
      <c r="T170" s="197" t="s">
        <v>340</v>
      </c>
      <c r="U170" s="198">
        <f t="shared" si="136"/>
        <v>0</v>
      </c>
      <c r="V170" s="381" t="s">
        <v>289</v>
      </c>
      <c r="W170" s="393">
        <f t="shared" si="137"/>
      </c>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12.75">
      <c r="A171" s="112">
        <f t="shared" si="138"/>
      </c>
      <c r="B171" s="266" t="s">
        <v>124</v>
      </c>
      <c r="C171" s="198">
        <f t="shared" si="131"/>
        <v>0</v>
      </c>
      <c r="D171" s="102" t="s">
        <v>170</v>
      </c>
      <c r="E171" s="69">
        <f t="shared" si="127"/>
        <v>0</v>
      </c>
      <c r="F171" s="352" t="s">
        <v>125</v>
      </c>
      <c r="G171" s="355">
        <f t="shared" si="128"/>
        <v>0</v>
      </c>
      <c r="H171" s="106" t="s">
        <v>126</v>
      </c>
      <c r="I171" s="69">
        <f t="shared" si="129"/>
        <v>0</v>
      </c>
      <c r="J171" s="352" t="s">
        <v>127</v>
      </c>
      <c r="K171" s="360">
        <f t="shared" si="132"/>
        <v>0</v>
      </c>
      <c r="L171" s="106" t="s">
        <v>147</v>
      </c>
      <c r="M171" s="69">
        <f t="shared" si="133"/>
      </c>
      <c r="N171" s="386" t="s">
        <v>187</v>
      </c>
      <c r="O171" s="148">
        <f t="shared" si="134"/>
      </c>
      <c r="P171" s="266" t="s">
        <v>124</v>
      </c>
      <c r="Q171" s="198">
        <f t="shared" si="135"/>
        <v>0</v>
      </c>
      <c r="R171" s="200" t="s">
        <v>258</v>
      </c>
      <c r="S171" s="198">
        <f t="shared" si="130"/>
        <v>0</v>
      </c>
      <c r="T171" s="197" t="s">
        <v>340</v>
      </c>
      <c r="U171" s="198">
        <f t="shared" si="136"/>
        <v>0</v>
      </c>
      <c r="V171" s="381" t="s">
        <v>289</v>
      </c>
      <c r="W171" s="393">
        <f t="shared" si="137"/>
      </c>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12.75">
      <c r="A172" s="112">
        <f t="shared" si="138"/>
      </c>
      <c r="B172" s="266" t="s">
        <v>124</v>
      </c>
      <c r="C172" s="198">
        <f t="shared" si="131"/>
        <v>0</v>
      </c>
      <c r="D172" s="102" t="s">
        <v>170</v>
      </c>
      <c r="E172" s="69">
        <f t="shared" si="127"/>
        <v>0</v>
      </c>
      <c r="F172" s="352" t="s">
        <v>125</v>
      </c>
      <c r="G172" s="355">
        <f t="shared" si="128"/>
        <v>0</v>
      </c>
      <c r="H172" s="106" t="s">
        <v>126</v>
      </c>
      <c r="I172" s="69">
        <f t="shared" si="129"/>
        <v>0</v>
      </c>
      <c r="J172" s="352" t="s">
        <v>127</v>
      </c>
      <c r="K172" s="360">
        <f t="shared" si="132"/>
        <v>0</v>
      </c>
      <c r="L172" s="106" t="s">
        <v>147</v>
      </c>
      <c r="M172" s="69">
        <f t="shared" si="133"/>
      </c>
      <c r="N172" s="386" t="s">
        <v>187</v>
      </c>
      <c r="O172" s="148">
        <f t="shared" si="134"/>
      </c>
      <c r="P172" s="266" t="s">
        <v>124</v>
      </c>
      <c r="Q172" s="198">
        <f t="shared" si="135"/>
        <v>0</v>
      </c>
      <c r="R172" s="200" t="s">
        <v>258</v>
      </c>
      <c r="S172" s="198">
        <f t="shared" si="130"/>
        <v>0</v>
      </c>
      <c r="T172" s="197" t="s">
        <v>340</v>
      </c>
      <c r="U172" s="198">
        <f t="shared" si="136"/>
        <v>0</v>
      </c>
      <c r="V172" s="381" t="s">
        <v>289</v>
      </c>
      <c r="W172" s="393">
        <f t="shared" si="137"/>
      </c>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ht="12.75">
      <c r="A173" s="112">
        <f t="shared" si="138"/>
      </c>
      <c r="B173" s="266" t="s">
        <v>124</v>
      </c>
      <c r="C173" s="198">
        <f t="shared" si="131"/>
        <v>0</v>
      </c>
      <c r="D173" s="102" t="s">
        <v>170</v>
      </c>
      <c r="E173" s="69">
        <f t="shared" si="127"/>
        <v>0</v>
      </c>
      <c r="F173" s="352" t="s">
        <v>125</v>
      </c>
      <c r="G173" s="355">
        <f t="shared" si="128"/>
        <v>0</v>
      </c>
      <c r="H173" s="106" t="s">
        <v>126</v>
      </c>
      <c r="I173" s="69">
        <f t="shared" si="129"/>
        <v>0</v>
      </c>
      <c r="J173" s="352" t="s">
        <v>127</v>
      </c>
      <c r="K173" s="360">
        <f t="shared" si="132"/>
        <v>0</v>
      </c>
      <c r="L173" s="106" t="s">
        <v>147</v>
      </c>
      <c r="M173" s="69">
        <f t="shared" si="133"/>
      </c>
      <c r="N173" s="386" t="s">
        <v>187</v>
      </c>
      <c r="O173" s="148">
        <f t="shared" si="134"/>
      </c>
      <c r="P173" s="266" t="s">
        <v>124</v>
      </c>
      <c r="Q173" s="198">
        <f t="shared" si="135"/>
        <v>0</v>
      </c>
      <c r="R173" s="200" t="s">
        <v>258</v>
      </c>
      <c r="S173" s="198">
        <f t="shared" si="130"/>
        <v>0</v>
      </c>
      <c r="T173" s="197" t="s">
        <v>340</v>
      </c>
      <c r="U173" s="198">
        <f t="shared" si="136"/>
        <v>0</v>
      </c>
      <c r="V173" s="381" t="s">
        <v>289</v>
      </c>
      <c r="W173" s="393">
        <f t="shared" si="137"/>
      </c>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0" ht="12.75">
      <c r="A174" s="112">
        <f t="shared" si="138"/>
      </c>
      <c r="B174" s="266" t="s">
        <v>124</v>
      </c>
      <c r="C174" s="198">
        <f t="shared" si="131"/>
        <v>0</v>
      </c>
      <c r="D174" s="102" t="s">
        <v>170</v>
      </c>
      <c r="E174" s="69">
        <f t="shared" si="127"/>
        <v>0</v>
      </c>
      <c r="F174" s="352" t="s">
        <v>125</v>
      </c>
      <c r="G174" s="355">
        <f t="shared" si="128"/>
        <v>0</v>
      </c>
      <c r="H174" s="106" t="s">
        <v>126</v>
      </c>
      <c r="I174" s="69">
        <f t="shared" si="129"/>
        <v>0</v>
      </c>
      <c r="J174" s="352" t="s">
        <v>127</v>
      </c>
      <c r="K174" s="360">
        <f t="shared" si="132"/>
        <v>0</v>
      </c>
      <c r="L174" s="106" t="s">
        <v>147</v>
      </c>
      <c r="M174" s="69">
        <f t="shared" si="133"/>
      </c>
      <c r="N174" s="386" t="s">
        <v>187</v>
      </c>
      <c r="O174" s="148">
        <f t="shared" si="134"/>
      </c>
      <c r="P174" s="266" t="s">
        <v>124</v>
      </c>
      <c r="Q174" s="198">
        <f t="shared" si="135"/>
        <v>0</v>
      </c>
      <c r="R174" s="200" t="s">
        <v>258</v>
      </c>
      <c r="S174" s="198">
        <f t="shared" si="130"/>
        <v>0</v>
      </c>
      <c r="T174" s="197" t="s">
        <v>340</v>
      </c>
      <c r="U174" s="198">
        <f t="shared" si="136"/>
        <v>0</v>
      </c>
      <c r="V174" s="381" t="s">
        <v>289</v>
      </c>
      <c r="W174" s="393">
        <f t="shared" si="137"/>
      </c>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0" ht="12.75">
      <c r="A175" s="112">
        <f t="shared" si="138"/>
      </c>
      <c r="B175" s="266" t="s">
        <v>124</v>
      </c>
      <c r="C175" s="198">
        <f t="shared" si="131"/>
        <v>0</v>
      </c>
      <c r="D175" s="102" t="s">
        <v>170</v>
      </c>
      <c r="E175" s="69">
        <f t="shared" si="127"/>
        <v>0</v>
      </c>
      <c r="F175" s="352" t="s">
        <v>125</v>
      </c>
      <c r="G175" s="355">
        <f t="shared" si="128"/>
        <v>0</v>
      </c>
      <c r="H175" s="106" t="s">
        <v>126</v>
      </c>
      <c r="I175" s="69">
        <f t="shared" si="129"/>
        <v>0</v>
      </c>
      <c r="J175" s="352" t="s">
        <v>127</v>
      </c>
      <c r="K175" s="360">
        <f t="shared" si="132"/>
        <v>0</v>
      </c>
      <c r="L175" s="106" t="s">
        <v>147</v>
      </c>
      <c r="M175" s="69">
        <f t="shared" si="133"/>
      </c>
      <c r="N175" s="386" t="s">
        <v>187</v>
      </c>
      <c r="O175" s="148">
        <f t="shared" si="134"/>
      </c>
      <c r="P175" s="266" t="s">
        <v>124</v>
      </c>
      <c r="Q175" s="198">
        <f t="shared" si="135"/>
        <v>0</v>
      </c>
      <c r="R175" s="200" t="s">
        <v>258</v>
      </c>
      <c r="S175" s="198">
        <f t="shared" si="130"/>
        <v>0</v>
      </c>
      <c r="T175" s="197" t="s">
        <v>340</v>
      </c>
      <c r="U175" s="198">
        <f t="shared" si="136"/>
        <v>0</v>
      </c>
      <c r="V175" s="381" t="s">
        <v>289</v>
      </c>
      <c r="W175" s="393">
        <f t="shared" si="137"/>
      </c>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row>
    <row r="176" spans="1:60" ht="12.75">
      <c r="A176" s="112">
        <f t="shared" si="138"/>
      </c>
      <c r="B176" s="266" t="s">
        <v>124</v>
      </c>
      <c r="C176" s="198">
        <f t="shared" si="131"/>
        <v>0</v>
      </c>
      <c r="D176" s="102" t="s">
        <v>170</v>
      </c>
      <c r="E176" s="69">
        <f t="shared" si="127"/>
        <v>0</v>
      </c>
      <c r="F176" s="352" t="s">
        <v>125</v>
      </c>
      <c r="G176" s="355">
        <f t="shared" si="128"/>
        <v>0</v>
      </c>
      <c r="H176" s="106" t="s">
        <v>126</v>
      </c>
      <c r="I176" s="69">
        <f t="shared" si="129"/>
        <v>0</v>
      </c>
      <c r="J176" s="352" t="s">
        <v>127</v>
      </c>
      <c r="K176" s="360">
        <f t="shared" si="132"/>
        <v>0</v>
      </c>
      <c r="L176" s="106" t="s">
        <v>147</v>
      </c>
      <c r="M176" s="69">
        <f t="shared" si="133"/>
      </c>
      <c r="N176" s="386" t="s">
        <v>187</v>
      </c>
      <c r="O176" s="148">
        <f t="shared" si="134"/>
      </c>
      <c r="P176" s="266" t="s">
        <v>124</v>
      </c>
      <c r="Q176" s="198">
        <f t="shared" si="135"/>
        <v>0</v>
      </c>
      <c r="R176" s="200" t="s">
        <v>258</v>
      </c>
      <c r="S176" s="198">
        <f t="shared" si="130"/>
        <v>0</v>
      </c>
      <c r="T176" s="197" t="s">
        <v>340</v>
      </c>
      <c r="U176" s="198">
        <f t="shared" si="136"/>
        <v>0</v>
      </c>
      <c r="V176" s="381" t="s">
        <v>289</v>
      </c>
      <c r="W176" s="393">
        <f t="shared" si="137"/>
      </c>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12.75">
      <c r="A177" s="112">
        <f t="shared" si="138"/>
      </c>
      <c r="B177" s="266" t="s">
        <v>124</v>
      </c>
      <c r="C177" s="198">
        <f t="shared" si="131"/>
        <v>0</v>
      </c>
      <c r="D177" s="102" t="s">
        <v>170</v>
      </c>
      <c r="E177" s="69">
        <f t="shared" si="127"/>
        <v>0</v>
      </c>
      <c r="F177" s="352" t="s">
        <v>125</v>
      </c>
      <c r="G177" s="355">
        <f t="shared" si="128"/>
        <v>0</v>
      </c>
      <c r="H177" s="106" t="s">
        <v>126</v>
      </c>
      <c r="I177" s="69">
        <f t="shared" si="129"/>
        <v>0</v>
      </c>
      <c r="J177" s="352" t="s">
        <v>127</v>
      </c>
      <c r="K177" s="360">
        <f t="shared" si="132"/>
        <v>0</v>
      </c>
      <c r="L177" s="106" t="s">
        <v>147</v>
      </c>
      <c r="M177" s="69">
        <f t="shared" si="133"/>
      </c>
      <c r="N177" s="386" t="s">
        <v>187</v>
      </c>
      <c r="O177" s="148">
        <f t="shared" si="134"/>
      </c>
      <c r="P177" s="266" t="s">
        <v>124</v>
      </c>
      <c r="Q177" s="198">
        <f t="shared" si="135"/>
        <v>0</v>
      </c>
      <c r="R177" s="200" t="s">
        <v>258</v>
      </c>
      <c r="S177" s="198">
        <f t="shared" si="130"/>
        <v>0</v>
      </c>
      <c r="T177" s="197" t="s">
        <v>340</v>
      </c>
      <c r="U177" s="198">
        <f t="shared" si="136"/>
        <v>0</v>
      </c>
      <c r="V177" s="381" t="s">
        <v>289</v>
      </c>
      <c r="W177" s="393">
        <f t="shared" si="137"/>
      </c>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ht="12.75">
      <c r="A178" s="112">
        <f t="shared" si="138"/>
      </c>
      <c r="B178" s="266" t="s">
        <v>124</v>
      </c>
      <c r="C178" s="198">
        <f t="shared" si="131"/>
        <v>0</v>
      </c>
      <c r="D178" s="102" t="s">
        <v>170</v>
      </c>
      <c r="E178" s="69">
        <f t="shared" si="127"/>
        <v>0</v>
      </c>
      <c r="F178" s="352" t="s">
        <v>125</v>
      </c>
      <c r="G178" s="355">
        <f t="shared" si="128"/>
        <v>0</v>
      </c>
      <c r="H178" s="106" t="s">
        <v>126</v>
      </c>
      <c r="I178" s="69">
        <f t="shared" si="129"/>
        <v>0</v>
      </c>
      <c r="J178" s="352" t="s">
        <v>127</v>
      </c>
      <c r="K178" s="360">
        <f t="shared" si="132"/>
        <v>0</v>
      </c>
      <c r="L178" s="106" t="s">
        <v>147</v>
      </c>
      <c r="M178" s="69">
        <f t="shared" si="133"/>
      </c>
      <c r="N178" s="386" t="s">
        <v>187</v>
      </c>
      <c r="O178" s="148">
        <f t="shared" si="134"/>
      </c>
      <c r="P178" s="266" t="s">
        <v>124</v>
      </c>
      <c r="Q178" s="198">
        <f t="shared" si="135"/>
        <v>0</v>
      </c>
      <c r="R178" s="200" t="s">
        <v>258</v>
      </c>
      <c r="S178" s="198">
        <f t="shared" si="130"/>
        <v>0</v>
      </c>
      <c r="T178" s="197" t="s">
        <v>340</v>
      </c>
      <c r="U178" s="198">
        <f t="shared" si="136"/>
        <v>0</v>
      </c>
      <c r="V178" s="381" t="s">
        <v>289</v>
      </c>
      <c r="W178" s="393">
        <f t="shared" si="137"/>
      </c>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ht="12.75">
      <c r="A179" s="112">
        <f t="shared" si="138"/>
      </c>
      <c r="B179" s="267" t="s">
        <v>124</v>
      </c>
      <c r="C179" s="369">
        <f t="shared" si="131"/>
        <v>0</v>
      </c>
      <c r="D179" s="103" t="s">
        <v>170</v>
      </c>
      <c r="E179" s="130">
        <f t="shared" si="127"/>
        <v>0</v>
      </c>
      <c r="F179" s="353" t="s">
        <v>125</v>
      </c>
      <c r="G179" s="394">
        <f t="shared" si="128"/>
        <v>0</v>
      </c>
      <c r="H179" s="107" t="s">
        <v>126</v>
      </c>
      <c r="I179" s="130">
        <f t="shared" si="129"/>
        <v>0</v>
      </c>
      <c r="J179" s="353" t="s">
        <v>127</v>
      </c>
      <c r="K179" s="395">
        <f t="shared" si="132"/>
        <v>0</v>
      </c>
      <c r="L179" s="107" t="s">
        <v>147</v>
      </c>
      <c r="M179" s="69">
        <f t="shared" si="133"/>
      </c>
      <c r="N179" s="387" t="s">
        <v>187</v>
      </c>
      <c r="O179" s="148">
        <f t="shared" si="134"/>
      </c>
      <c r="P179" s="267" t="s">
        <v>124</v>
      </c>
      <c r="Q179" s="369">
        <f t="shared" si="135"/>
        <v>0</v>
      </c>
      <c r="R179" s="368" t="s">
        <v>258</v>
      </c>
      <c r="S179" s="369">
        <f t="shared" si="130"/>
        <v>0</v>
      </c>
      <c r="T179" s="382" t="s">
        <v>340</v>
      </c>
      <c r="U179" s="369">
        <f t="shared" si="136"/>
        <v>0</v>
      </c>
      <c r="V179" s="383" t="s">
        <v>289</v>
      </c>
      <c r="W179" s="393">
        <f t="shared" si="137"/>
      </c>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row>
    <row r="180" spans="2:49" ht="12.75" hidden="1">
      <c r="B180"/>
      <c r="C180"/>
      <c r="D180"/>
      <c r="E180"/>
      <c r="F180"/>
      <c r="G180" s="356"/>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row>
  </sheetData>
  <sheetProtection/>
  <mergeCells count="579">
    <mergeCell ref="T62:U62"/>
    <mergeCell ref="T63:U63"/>
    <mergeCell ref="T68:U68"/>
    <mergeCell ref="T69:U69"/>
    <mergeCell ref="T64:U64"/>
    <mergeCell ref="T65:U65"/>
    <mergeCell ref="T66:U66"/>
    <mergeCell ref="T67:U67"/>
    <mergeCell ref="T58:U58"/>
    <mergeCell ref="T59:U59"/>
    <mergeCell ref="T60:U60"/>
    <mergeCell ref="T61:U61"/>
    <mergeCell ref="T54:U54"/>
    <mergeCell ref="T55:U55"/>
    <mergeCell ref="T56:U56"/>
    <mergeCell ref="T57:U57"/>
    <mergeCell ref="T50:U50"/>
    <mergeCell ref="T51:U51"/>
    <mergeCell ref="T52:U52"/>
    <mergeCell ref="T53:U53"/>
    <mergeCell ref="Q66:S66"/>
    <mergeCell ref="Q67:S67"/>
    <mergeCell ref="Q68:S68"/>
    <mergeCell ref="Q69:S69"/>
    <mergeCell ref="Q64:S64"/>
    <mergeCell ref="Q65:S65"/>
    <mergeCell ref="Q60:S60"/>
    <mergeCell ref="Q61:S61"/>
    <mergeCell ref="Q62:S62"/>
    <mergeCell ref="Q57:S57"/>
    <mergeCell ref="Q58:S58"/>
    <mergeCell ref="Q59:S59"/>
    <mergeCell ref="Q63:S63"/>
    <mergeCell ref="O66:P66"/>
    <mergeCell ref="O67:P67"/>
    <mergeCell ref="O68:P68"/>
    <mergeCell ref="O69:P69"/>
    <mergeCell ref="O62:P62"/>
    <mergeCell ref="O63:P63"/>
    <mergeCell ref="O64:P64"/>
    <mergeCell ref="O65:P65"/>
    <mergeCell ref="O58:P58"/>
    <mergeCell ref="O59:P59"/>
    <mergeCell ref="O60:P60"/>
    <mergeCell ref="O61:P61"/>
    <mergeCell ref="O52:P52"/>
    <mergeCell ref="O53:P53"/>
    <mergeCell ref="O54:P54"/>
    <mergeCell ref="O55:P55"/>
    <mergeCell ref="L66:N66"/>
    <mergeCell ref="L67:N67"/>
    <mergeCell ref="L68:N68"/>
    <mergeCell ref="L69:N69"/>
    <mergeCell ref="L62:N62"/>
    <mergeCell ref="L63:N63"/>
    <mergeCell ref="L64:N64"/>
    <mergeCell ref="L65:N65"/>
    <mergeCell ref="L58:N58"/>
    <mergeCell ref="L59:N59"/>
    <mergeCell ref="L60:N60"/>
    <mergeCell ref="L61:N61"/>
    <mergeCell ref="J66:K66"/>
    <mergeCell ref="J67:K67"/>
    <mergeCell ref="J68:K68"/>
    <mergeCell ref="J69:K69"/>
    <mergeCell ref="J62:K62"/>
    <mergeCell ref="J63:K63"/>
    <mergeCell ref="J64:K64"/>
    <mergeCell ref="J65:K65"/>
    <mergeCell ref="J58:K58"/>
    <mergeCell ref="J59:K59"/>
    <mergeCell ref="J60:K60"/>
    <mergeCell ref="J61:K61"/>
    <mergeCell ref="J52:K52"/>
    <mergeCell ref="J53:K53"/>
    <mergeCell ref="J54:K54"/>
    <mergeCell ref="J55:K55"/>
    <mergeCell ref="G66:I66"/>
    <mergeCell ref="G67:I67"/>
    <mergeCell ref="G68:I68"/>
    <mergeCell ref="G69:I69"/>
    <mergeCell ref="G62:I62"/>
    <mergeCell ref="G63:I63"/>
    <mergeCell ref="G64:I64"/>
    <mergeCell ref="G65:I65"/>
    <mergeCell ref="G58:I58"/>
    <mergeCell ref="G59:I59"/>
    <mergeCell ref="G60:I60"/>
    <mergeCell ref="G61:I61"/>
    <mergeCell ref="E66:F66"/>
    <mergeCell ref="E67:F67"/>
    <mergeCell ref="E60:F60"/>
    <mergeCell ref="E61:F61"/>
    <mergeCell ref="B49:D49"/>
    <mergeCell ref="E49:F49"/>
    <mergeCell ref="E64:F64"/>
    <mergeCell ref="E65:F65"/>
    <mergeCell ref="E59:F59"/>
    <mergeCell ref="B62:D62"/>
    <mergeCell ref="B63:D63"/>
    <mergeCell ref="B64:D64"/>
    <mergeCell ref="E62:F62"/>
    <mergeCell ref="E63:F63"/>
    <mergeCell ref="B69:D69"/>
    <mergeCell ref="E50:F50"/>
    <mergeCell ref="E51:F51"/>
    <mergeCell ref="E52:F52"/>
    <mergeCell ref="E53:F53"/>
    <mergeCell ref="E54:F54"/>
    <mergeCell ref="E55:F55"/>
    <mergeCell ref="E56:F56"/>
    <mergeCell ref="E68:F68"/>
    <mergeCell ref="E69:F69"/>
    <mergeCell ref="B65:D65"/>
    <mergeCell ref="B66:D66"/>
    <mergeCell ref="B58:D58"/>
    <mergeCell ref="B59:D59"/>
    <mergeCell ref="B67:D67"/>
    <mergeCell ref="B68:D68"/>
    <mergeCell ref="B50:D50"/>
    <mergeCell ref="B51:D51"/>
    <mergeCell ref="B52:D52"/>
    <mergeCell ref="B53:D53"/>
    <mergeCell ref="B54:D54"/>
    <mergeCell ref="B55:D55"/>
    <mergeCell ref="B56:D56"/>
    <mergeCell ref="B57:D57"/>
    <mergeCell ref="BG62:BH62"/>
    <mergeCell ref="BG63:BH63"/>
    <mergeCell ref="BG64:BH64"/>
    <mergeCell ref="BG69:BH69"/>
    <mergeCell ref="BG65:BH65"/>
    <mergeCell ref="BG66:BH66"/>
    <mergeCell ref="BG67:BH67"/>
    <mergeCell ref="BG68:BH68"/>
    <mergeCell ref="BG58:BH58"/>
    <mergeCell ref="BG59:BH59"/>
    <mergeCell ref="BG60:BH60"/>
    <mergeCell ref="BG61:BH61"/>
    <mergeCell ref="AU66:AV66"/>
    <mergeCell ref="AU68:AV68"/>
    <mergeCell ref="BG50:BH50"/>
    <mergeCell ref="BG51:BH51"/>
    <mergeCell ref="BG52:BH52"/>
    <mergeCell ref="BG53:BH53"/>
    <mergeCell ref="BG54:BH54"/>
    <mergeCell ref="BG55:BH55"/>
    <mergeCell ref="BG56:BH56"/>
    <mergeCell ref="BG57:BH57"/>
    <mergeCell ref="AU58:AV58"/>
    <mergeCell ref="AU60:AV60"/>
    <mergeCell ref="AU62:AV62"/>
    <mergeCell ref="AU64:AV64"/>
    <mergeCell ref="AU50:AV50"/>
    <mergeCell ref="AU52:AV52"/>
    <mergeCell ref="AU54:AV54"/>
    <mergeCell ref="AU56:AV56"/>
    <mergeCell ref="L2:P2"/>
    <mergeCell ref="Q2:U2"/>
    <mergeCell ref="AU49:AV49"/>
    <mergeCell ref="BG49:BH49"/>
    <mergeCell ref="L49:N49"/>
    <mergeCell ref="O49:P49"/>
    <mergeCell ref="Q49:S49"/>
    <mergeCell ref="AI2:AJ2"/>
    <mergeCell ref="AK2:AL2"/>
    <mergeCell ref="AA49:AB49"/>
    <mergeCell ref="Q50:S50"/>
    <mergeCell ref="Q51:S51"/>
    <mergeCell ref="B1:U1"/>
    <mergeCell ref="AG2:AH2"/>
    <mergeCell ref="Y2:Z2"/>
    <mergeCell ref="AA2:AB2"/>
    <mergeCell ref="AC2:AD2"/>
    <mergeCell ref="AE2:AF2"/>
    <mergeCell ref="B2:F2"/>
    <mergeCell ref="G2:K2"/>
    <mergeCell ref="V1:X1"/>
    <mergeCell ref="AU2:AV2"/>
    <mergeCell ref="AO2:AP2"/>
    <mergeCell ref="Y1:AP1"/>
    <mergeCell ref="AM2:AN2"/>
    <mergeCell ref="AS1:AV1"/>
    <mergeCell ref="G49:I49"/>
    <mergeCell ref="J49:K49"/>
    <mergeCell ref="V49:X49"/>
    <mergeCell ref="Y49:Z49"/>
    <mergeCell ref="T49:U49"/>
    <mergeCell ref="AK49:AL49"/>
    <mergeCell ref="AM49:AN49"/>
    <mergeCell ref="AO49:AP49"/>
    <mergeCell ref="V50:X50"/>
    <mergeCell ref="AK50:AL50"/>
    <mergeCell ref="AO50:AP50"/>
    <mergeCell ref="AC49:AD49"/>
    <mergeCell ref="AE49:AF49"/>
    <mergeCell ref="AG49:AH49"/>
    <mergeCell ref="AI49:AJ49"/>
    <mergeCell ref="V51:X51"/>
    <mergeCell ref="AE50:AF50"/>
    <mergeCell ref="AE51:AF51"/>
    <mergeCell ref="AM50:AN50"/>
    <mergeCell ref="AM51:AN51"/>
    <mergeCell ref="AA50:AB50"/>
    <mergeCell ref="AA51:AB51"/>
    <mergeCell ref="AC50:AD50"/>
    <mergeCell ref="AC51:AD51"/>
    <mergeCell ref="AG50:AH50"/>
    <mergeCell ref="J50:K50"/>
    <mergeCell ref="J51:K51"/>
    <mergeCell ref="B60:D60"/>
    <mergeCell ref="B61:D61"/>
    <mergeCell ref="G54:I54"/>
    <mergeCell ref="G55:I55"/>
    <mergeCell ref="G56:I56"/>
    <mergeCell ref="G57:I57"/>
    <mergeCell ref="E57:F57"/>
    <mergeCell ref="E58:F58"/>
    <mergeCell ref="G50:I50"/>
    <mergeCell ref="G51:I51"/>
    <mergeCell ref="G52:I52"/>
    <mergeCell ref="G53:I53"/>
    <mergeCell ref="L56:N56"/>
    <mergeCell ref="L57:N57"/>
    <mergeCell ref="J56:K56"/>
    <mergeCell ref="J57:K57"/>
    <mergeCell ref="O56:P56"/>
    <mergeCell ref="O57:P57"/>
    <mergeCell ref="L50:N50"/>
    <mergeCell ref="L51:N51"/>
    <mergeCell ref="L52:N52"/>
    <mergeCell ref="L53:N53"/>
    <mergeCell ref="O50:P50"/>
    <mergeCell ref="O51:P51"/>
    <mergeCell ref="L54:N54"/>
    <mergeCell ref="L55:N55"/>
    <mergeCell ref="Q52:S52"/>
    <mergeCell ref="Q53:S53"/>
    <mergeCell ref="Q54:S54"/>
    <mergeCell ref="V68:X68"/>
    <mergeCell ref="V52:X52"/>
    <mergeCell ref="V53:X53"/>
    <mergeCell ref="V54:X54"/>
    <mergeCell ref="V55:X55"/>
    <mergeCell ref="Q55:S55"/>
    <mergeCell ref="Q56:S56"/>
    <mergeCell ref="V69:X69"/>
    <mergeCell ref="V56:X56"/>
    <mergeCell ref="V57:X57"/>
    <mergeCell ref="V58:X58"/>
    <mergeCell ref="V59:X59"/>
    <mergeCell ref="Y57:Z57"/>
    <mergeCell ref="Y58:Z58"/>
    <mergeCell ref="V60:X60"/>
    <mergeCell ref="V61:X61"/>
    <mergeCell ref="Y65:Z65"/>
    <mergeCell ref="Y66:Z66"/>
    <mergeCell ref="Y67:Z67"/>
    <mergeCell ref="Y50:Z50"/>
    <mergeCell ref="Y51:Z51"/>
    <mergeCell ref="Y52:Z52"/>
    <mergeCell ref="Y53:Z53"/>
    <mergeCell ref="Y54:Z54"/>
    <mergeCell ref="Y55:Z55"/>
    <mergeCell ref="Y56:Z56"/>
    <mergeCell ref="AA52:AB52"/>
    <mergeCell ref="AA53:AB53"/>
    <mergeCell ref="AA59:AB59"/>
    <mergeCell ref="AA60:AB60"/>
    <mergeCell ref="AA58:AB58"/>
    <mergeCell ref="AA54:AB54"/>
    <mergeCell ref="AA55:AB55"/>
    <mergeCell ref="AA56:AB56"/>
    <mergeCell ref="AA57:AB57"/>
    <mergeCell ref="AA61:AB61"/>
    <mergeCell ref="Y69:Z69"/>
    <mergeCell ref="Y59:Z59"/>
    <mergeCell ref="Y60:Z60"/>
    <mergeCell ref="Y61:Z61"/>
    <mergeCell ref="Y68:Z68"/>
    <mergeCell ref="Y62:Z62"/>
    <mergeCell ref="Y63:Z63"/>
    <mergeCell ref="AA68:AB68"/>
    <mergeCell ref="AA69:AB69"/>
    <mergeCell ref="AC52:AD52"/>
    <mergeCell ref="AC53:AD53"/>
    <mergeCell ref="AC61:AD61"/>
    <mergeCell ref="AC68:AD68"/>
    <mergeCell ref="AC54:AD54"/>
    <mergeCell ref="AC55:AD55"/>
    <mergeCell ref="AC56:AD56"/>
    <mergeCell ref="AC69:AD69"/>
    <mergeCell ref="AC57:AD57"/>
    <mergeCell ref="AC58:AD58"/>
    <mergeCell ref="AC59:AD59"/>
    <mergeCell ref="AC60:AD60"/>
    <mergeCell ref="AC64:AD64"/>
    <mergeCell ref="AE52:AF52"/>
    <mergeCell ref="AE53:AF53"/>
    <mergeCell ref="AE54:AF54"/>
    <mergeCell ref="AE55:AF55"/>
    <mergeCell ref="AE56:AF56"/>
    <mergeCell ref="AE57:AF57"/>
    <mergeCell ref="AE58:AF58"/>
    <mergeCell ref="AE59:AF59"/>
    <mergeCell ref="AG58:AH58"/>
    <mergeCell ref="AE60:AF60"/>
    <mergeCell ref="AE61:AF61"/>
    <mergeCell ref="AE68:AF68"/>
    <mergeCell ref="AE64:AF64"/>
    <mergeCell ref="AG64:AH64"/>
    <mergeCell ref="AG62:AH62"/>
    <mergeCell ref="AG63:AH63"/>
    <mergeCell ref="AG54:AH54"/>
    <mergeCell ref="AG55:AH55"/>
    <mergeCell ref="AG56:AH56"/>
    <mergeCell ref="AG57:AH57"/>
    <mergeCell ref="AG51:AH51"/>
    <mergeCell ref="AG52:AH52"/>
    <mergeCell ref="AG53:AH53"/>
    <mergeCell ref="AI50:AJ50"/>
    <mergeCell ref="AI51:AJ51"/>
    <mergeCell ref="AI52:AJ52"/>
    <mergeCell ref="AI53:AJ53"/>
    <mergeCell ref="AI59:AJ59"/>
    <mergeCell ref="AI60:AJ60"/>
    <mergeCell ref="AI61:AJ61"/>
    <mergeCell ref="AG69:AH69"/>
    <mergeCell ref="AG59:AH59"/>
    <mergeCell ref="AG60:AH60"/>
    <mergeCell ref="AG61:AH61"/>
    <mergeCell ref="AG68:AH68"/>
    <mergeCell ref="AI62:AJ62"/>
    <mergeCell ref="AI64:AJ64"/>
    <mergeCell ref="AI58:AJ58"/>
    <mergeCell ref="AI54:AJ54"/>
    <mergeCell ref="AI55:AJ55"/>
    <mergeCell ref="AI56:AJ56"/>
    <mergeCell ref="AI57:AJ57"/>
    <mergeCell ref="AM60:AN60"/>
    <mergeCell ref="AM61:AN61"/>
    <mergeCell ref="AK51:AL51"/>
    <mergeCell ref="AK52:AL52"/>
    <mergeCell ref="AK53:AL53"/>
    <mergeCell ref="AK61:AL61"/>
    <mergeCell ref="AK54:AL54"/>
    <mergeCell ref="AK55:AL55"/>
    <mergeCell ref="AK56:AL56"/>
    <mergeCell ref="AK57:AL57"/>
    <mergeCell ref="AM62:AN62"/>
    <mergeCell ref="AM64:AN64"/>
    <mergeCell ref="AM59:AN59"/>
    <mergeCell ref="AM52:AN52"/>
    <mergeCell ref="AM53:AN53"/>
    <mergeCell ref="AM54:AN54"/>
    <mergeCell ref="AM55:AN55"/>
    <mergeCell ref="AM56:AN56"/>
    <mergeCell ref="AM57:AN57"/>
    <mergeCell ref="AM58:AN58"/>
    <mergeCell ref="AK58:AL58"/>
    <mergeCell ref="AK59:AL59"/>
    <mergeCell ref="AK60:AL60"/>
    <mergeCell ref="AK64:AL64"/>
    <mergeCell ref="AK62:AL62"/>
    <mergeCell ref="AO51:AP51"/>
    <mergeCell ref="AO52:AP52"/>
    <mergeCell ref="AO53:AP53"/>
    <mergeCell ref="AO58:AP58"/>
    <mergeCell ref="AO54:AP54"/>
    <mergeCell ref="AO55:AP55"/>
    <mergeCell ref="AO56:AP56"/>
    <mergeCell ref="AO62:AP62"/>
    <mergeCell ref="AO64:AP64"/>
    <mergeCell ref="AO66:AP66"/>
    <mergeCell ref="AO57:AP57"/>
    <mergeCell ref="AO59:AP59"/>
    <mergeCell ref="AO60:AP60"/>
    <mergeCell ref="AO61:AP61"/>
    <mergeCell ref="AO69:AP69"/>
    <mergeCell ref="AI68:AJ68"/>
    <mergeCell ref="AI69:AJ69"/>
    <mergeCell ref="AE69:AF69"/>
    <mergeCell ref="AK68:AL68"/>
    <mergeCell ref="AK69:AL69"/>
    <mergeCell ref="AO68:AP68"/>
    <mergeCell ref="AM69:AN69"/>
    <mergeCell ref="AM68:AN68"/>
    <mergeCell ref="Y64:Z64"/>
    <mergeCell ref="AA62:AB62"/>
    <mergeCell ref="AC62:AD62"/>
    <mergeCell ref="AE62:AF62"/>
    <mergeCell ref="AA63:AB63"/>
    <mergeCell ref="AC63:AD63"/>
    <mergeCell ref="AE63:AF63"/>
    <mergeCell ref="AA64:AB64"/>
    <mergeCell ref="AI63:AJ63"/>
    <mergeCell ref="AK63:AL63"/>
    <mergeCell ref="AM63:AN63"/>
    <mergeCell ref="AO63:AP63"/>
    <mergeCell ref="AA65:AB65"/>
    <mergeCell ref="AC65:AD65"/>
    <mergeCell ref="AE65:AF65"/>
    <mergeCell ref="AG65:AH65"/>
    <mergeCell ref="AI65:AJ65"/>
    <mergeCell ref="AK65:AL65"/>
    <mergeCell ref="AM65:AN65"/>
    <mergeCell ref="AO65:AP65"/>
    <mergeCell ref="AA66:AB66"/>
    <mergeCell ref="AC66:AD66"/>
    <mergeCell ref="AE66:AF66"/>
    <mergeCell ref="AG66:AH66"/>
    <mergeCell ref="AA67:AB67"/>
    <mergeCell ref="AC67:AD67"/>
    <mergeCell ref="AE67:AF67"/>
    <mergeCell ref="AG67:AH67"/>
    <mergeCell ref="AS50:AT50"/>
    <mergeCell ref="AW50:AX50"/>
    <mergeCell ref="AY50:AZ50"/>
    <mergeCell ref="AI67:AJ67"/>
    <mergeCell ref="AK67:AL67"/>
    <mergeCell ref="AM67:AN67"/>
    <mergeCell ref="AO67:AP67"/>
    <mergeCell ref="AI66:AJ66"/>
    <mergeCell ref="AK66:AL66"/>
    <mergeCell ref="AM66:AN66"/>
    <mergeCell ref="BA50:BB50"/>
    <mergeCell ref="BC50:BD50"/>
    <mergeCell ref="BE50:BF50"/>
    <mergeCell ref="AQ51:AR51"/>
    <mergeCell ref="AS51:AT51"/>
    <mergeCell ref="AU51:AV51"/>
    <mergeCell ref="AW51:AX51"/>
    <mergeCell ref="AY51:AZ51"/>
    <mergeCell ref="BA51:BB51"/>
    <mergeCell ref="AQ50:AR50"/>
    <mergeCell ref="BC51:BD51"/>
    <mergeCell ref="BE51:BF51"/>
    <mergeCell ref="AQ52:AR52"/>
    <mergeCell ref="AS52:AT52"/>
    <mergeCell ref="AW52:AX52"/>
    <mergeCell ref="AY52:AZ52"/>
    <mergeCell ref="BA52:BB52"/>
    <mergeCell ref="BC52:BD52"/>
    <mergeCell ref="BE52:BF52"/>
    <mergeCell ref="BA53:BB53"/>
    <mergeCell ref="BC53:BD53"/>
    <mergeCell ref="AQ53:AR53"/>
    <mergeCell ref="AS53:AT53"/>
    <mergeCell ref="AU53:AV53"/>
    <mergeCell ref="BE53:BF53"/>
    <mergeCell ref="AQ54:AR54"/>
    <mergeCell ref="AS54:AT54"/>
    <mergeCell ref="AW54:AX54"/>
    <mergeCell ref="AY54:AZ54"/>
    <mergeCell ref="BA54:BB54"/>
    <mergeCell ref="BC54:BD54"/>
    <mergeCell ref="BE54:BF54"/>
    <mergeCell ref="AW53:AX53"/>
    <mergeCell ref="AY53:AZ53"/>
    <mergeCell ref="BA55:BB55"/>
    <mergeCell ref="BC55:BD55"/>
    <mergeCell ref="AQ55:AR55"/>
    <mergeCell ref="AS55:AT55"/>
    <mergeCell ref="AU55:AV55"/>
    <mergeCell ref="BE55:BF55"/>
    <mergeCell ref="AQ56:AR56"/>
    <mergeCell ref="AS56:AT56"/>
    <mergeCell ref="AW56:AX56"/>
    <mergeCell ref="AY56:AZ56"/>
    <mergeCell ref="BA56:BB56"/>
    <mergeCell ref="BC56:BD56"/>
    <mergeCell ref="BE56:BF56"/>
    <mergeCell ref="AW55:AX55"/>
    <mergeCell ref="AY55:AZ55"/>
    <mergeCell ref="BA57:BB57"/>
    <mergeCell ref="BC57:BD57"/>
    <mergeCell ref="AQ57:AR57"/>
    <mergeCell ref="AS57:AT57"/>
    <mergeCell ref="AU57:AV57"/>
    <mergeCell ref="BE57:BF57"/>
    <mergeCell ref="AQ58:AR58"/>
    <mergeCell ref="AS58:AT58"/>
    <mergeCell ref="AW58:AX58"/>
    <mergeCell ref="AY58:AZ58"/>
    <mergeCell ref="BA58:BB58"/>
    <mergeCell ref="BC58:BD58"/>
    <mergeCell ref="BE58:BF58"/>
    <mergeCell ref="AW57:AX57"/>
    <mergeCell ref="AY57:AZ57"/>
    <mergeCell ref="BA59:BB59"/>
    <mergeCell ref="BC59:BD59"/>
    <mergeCell ref="AQ59:AR59"/>
    <mergeCell ref="AS59:AT59"/>
    <mergeCell ref="AU59:AV59"/>
    <mergeCell ref="BE59:BF59"/>
    <mergeCell ref="AQ60:AR60"/>
    <mergeCell ref="AS60:AT60"/>
    <mergeCell ref="AW60:AX60"/>
    <mergeCell ref="AY60:AZ60"/>
    <mergeCell ref="BA60:BB60"/>
    <mergeCell ref="BC60:BD60"/>
    <mergeCell ref="BE60:BF60"/>
    <mergeCell ref="AW59:AX59"/>
    <mergeCell ref="AY59:AZ59"/>
    <mergeCell ref="BA61:BB61"/>
    <mergeCell ref="BC61:BD61"/>
    <mergeCell ref="AQ61:AR61"/>
    <mergeCell ref="AS61:AT61"/>
    <mergeCell ref="AU61:AV61"/>
    <mergeCell ref="BE61:BF61"/>
    <mergeCell ref="AQ62:AR62"/>
    <mergeCell ref="AS62:AT62"/>
    <mergeCell ref="AW62:AX62"/>
    <mergeCell ref="AY62:AZ62"/>
    <mergeCell ref="BA62:BB62"/>
    <mergeCell ref="BC62:BD62"/>
    <mergeCell ref="BE62:BF62"/>
    <mergeCell ref="AW61:AX61"/>
    <mergeCell ref="AY61:AZ61"/>
    <mergeCell ref="BA63:BB63"/>
    <mergeCell ref="BC63:BD63"/>
    <mergeCell ref="AQ63:AR63"/>
    <mergeCell ref="AS63:AT63"/>
    <mergeCell ref="AU63:AV63"/>
    <mergeCell ref="BE63:BF63"/>
    <mergeCell ref="AQ64:AR64"/>
    <mergeCell ref="AS64:AT64"/>
    <mergeCell ref="AW64:AX64"/>
    <mergeCell ref="AY64:AZ64"/>
    <mergeCell ref="BA64:BB64"/>
    <mergeCell ref="BC64:BD64"/>
    <mergeCell ref="BE64:BF64"/>
    <mergeCell ref="AW63:AX63"/>
    <mergeCell ref="AY63:AZ63"/>
    <mergeCell ref="BA65:BB65"/>
    <mergeCell ref="BC65:BD65"/>
    <mergeCell ref="AQ65:AR65"/>
    <mergeCell ref="AS65:AT65"/>
    <mergeCell ref="AU65:AV65"/>
    <mergeCell ref="BE65:BF65"/>
    <mergeCell ref="AQ66:AR66"/>
    <mergeCell ref="AS66:AT66"/>
    <mergeCell ref="AW66:AX66"/>
    <mergeCell ref="AY66:AZ66"/>
    <mergeCell ref="BA66:BB66"/>
    <mergeCell ref="BC66:BD66"/>
    <mergeCell ref="BE66:BF66"/>
    <mergeCell ref="AW65:AX65"/>
    <mergeCell ref="AY65:AZ65"/>
    <mergeCell ref="BA67:BB67"/>
    <mergeCell ref="BC67:BD67"/>
    <mergeCell ref="AQ67:AR67"/>
    <mergeCell ref="AS67:AT67"/>
    <mergeCell ref="AU67:AV67"/>
    <mergeCell ref="BE67:BF67"/>
    <mergeCell ref="AQ68:AR68"/>
    <mergeCell ref="AS68:AT68"/>
    <mergeCell ref="AW68:AX68"/>
    <mergeCell ref="AY68:AZ68"/>
    <mergeCell ref="BA68:BB68"/>
    <mergeCell ref="BC68:BD68"/>
    <mergeCell ref="BE68:BF68"/>
    <mergeCell ref="AW67:AX67"/>
    <mergeCell ref="AY67:AZ67"/>
    <mergeCell ref="BA69:BB69"/>
    <mergeCell ref="BC69:BD69"/>
    <mergeCell ref="AQ69:AR69"/>
    <mergeCell ref="AS69:AT69"/>
    <mergeCell ref="AU69:AV69"/>
    <mergeCell ref="BE69:BF69"/>
    <mergeCell ref="AQ49:AR49"/>
    <mergeCell ref="AS49:AT49"/>
    <mergeCell ref="BE49:BF49"/>
    <mergeCell ref="AW49:AX49"/>
    <mergeCell ref="AY49:AZ49"/>
    <mergeCell ref="BA49:BB49"/>
    <mergeCell ref="BC49:BD49"/>
    <mergeCell ref="AW69:AX69"/>
    <mergeCell ref="AY69:AZ69"/>
  </mergeCells>
  <printOptions/>
  <pageMargins left="0.75" right="0.75" top="1" bottom="1" header="0.5" footer="0.5"/>
  <pageSetup fitToHeight="1" fitToWidth="1" horizontalDpi="600" verticalDpi="600" orientation="landscape" paperSize="17" scale="29" r:id="rId3"/>
  <legacyDrawing r:id="rId2"/>
</worksheet>
</file>

<file path=xl/worksheets/sheet8.xml><?xml version="1.0" encoding="utf-8"?>
<worksheet xmlns="http://schemas.openxmlformats.org/spreadsheetml/2006/main" xmlns:r="http://schemas.openxmlformats.org/officeDocument/2006/relationships">
  <sheetPr codeName="Sheet21">
    <tabColor indexed="42"/>
  </sheetPr>
  <dimension ref="A1:J15"/>
  <sheetViews>
    <sheetView showRowColHeaders="0" zoomScale="74" zoomScaleNormal="74" workbookViewId="0" topLeftCell="A1">
      <selection activeCell="A6" sqref="A6"/>
    </sheetView>
  </sheetViews>
  <sheetFormatPr defaultColWidth="9.140625" defaultRowHeight="12.75"/>
  <cols>
    <col min="1" max="1" width="9.140625" style="188" customWidth="1"/>
    <col min="2" max="3" width="60.7109375" style="188" customWidth="1"/>
    <col min="4" max="4" width="30.57421875" style="188" customWidth="1"/>
    <col min="5" max="5" width="17.28125" style="188" hidden="1" customWidth="1"/>
    <col min="6" max="6" width="16.140625" style="188" hidden="1" customWidth="1"/>
    <col min="7" max="7" width="14.28125" style="188" hidden="1" customWidth="1"/>
    <col min="8" max="8" width="14.00390625" style="188" hidden="1" customWidth="1"/>
    <col min="9" max="16384" width="9.140625" style="188" hidden="1" customWidth="1"/>
  </cols>
  <sheetData>
    <row r="1" spans="1:10" ht="19.5" customHeight="1">
      <c r="A1" s="172" t="s">
        <v>244</v>
      </c>
      <c r="B1" s="171"/>
      <c r="C1" s="172"/>
      <c r="D1" s="173"/>
      <c r="E1" s="190"/>
      <c r="F1" s="57"/>
      <c r="G1" s="57"/>
      <c r="H1" s="57"/>
      <c r="J1" s="190"/>
    </row>
    <row r="2" spans="1:8" ht="19.5" customHeight="1">
      <c r="A2" s="172" t="s">
        <v>245</v>
      </c>
      <c r="B2" s="171"/>
      <c r="C2" s="174"/>
      <c r="D2" s="171"/>
      <c r="F2" s="58"/>
      <c r="G2" s="58"/>
      <c r="H2" s="58"/>
    </row>
    <row r="3" spans="1:8" ht="19.5" customHeight="1">
      <c r="A3" s="172" t="s">
        <v>242</v>
      </c>
      <c r="B3" s="171"/>
      <c r="C3" s="174"/>
      <c r="D3" s="171"/>
      <c r="F3" s="58"/>
      <c r="G3" s="58"/>
      <c r="H3" s="58"/>
    </row>
    <row r="4" spans="1:8" ht="19.5" customHeight="1">
      <c r="A4" s="172" t="s">
        <v>246</v>
      </c>
      <c r="B4" s="171"/>
      <c r="C4" s="174"/>
      <c r="D4" s="171"/>
      <c r="F4" s="58"/>
      <c r="G4" s="58"/>
      <c r="H4" s="58"/>
    </row>
    <row r="5" spans="1:8" ht="19.5" customHeight="1" thickBot="1">
      <c r="A5" s="179" t="s">
        <v>247</v>
      </c>
      <c r="B5" s="171"/>
      <c r="C5" s="174"/>
      <c r="D5" s="175"/>
      <c r="F5" s="58"/>
      <c r="G5" s="58"/>
      <c r="H5" s="58"/>
    </row>
    <row r="6" spans="1:9" ht="39.75" customHeight="1" thickBot="1" thickTop="1">
      <c r="A6" s="185"/>
      <c r="B6" s="182" t="s">
        <v>237</v>
      </c>
      <c r="C6" s="181" t="s">
        <v>238</v>
      </c>
      <c r="D6" s="181" t="s">
        <v>154</v>
      </c>
      <c r="F6" s="169" t="s">
        <v>144</v>
      </c>
      <c r="G6" s="169" t="s">
        <v>153</v>
      </c>
      <c r="H6" s="177" t="s">
        <v>155</v>
      </c>
      <c r="I6" s="191"/>
    </row>
    <row r="7" spans="1:9" ht="168.75" customHeight="1" thickTop="1">
      <c r="A7" s="186" t="s">
        <v>233</v>
      </c>
      <c r="B7" s="183" t="s">
        <v>243</v>
      </c>
      <c r="C7" s="180" t="s">
        <v>239</v>
      </c>
      <c r="D7" s="320">
        <v>25</v>
      </c>
      <c r="F7" s="176">
        <f>D7/($D$7+SUM($D$7:$D$11))</f>
        <v>0.23255813953488372</v>
      </c>
      <c r="G7" s="193">
        <v>91</v>
      </c>
      <c r="H7" s="178">
        <f>F7*(100/G7)</f>
        <v>0.2555583950932788</v>
      </c>
      <c r="I7" s="191"/>
    </row>
    <row r="8" spans="1:9" ht="131.25" customHeight="1">
      <c r="A8" s="187" t="s">
        <v>234</v>
      </c>
      <c r="B8" s="184" t="s">
        <v>298</v>
      </c>
      <c r="C8" s="170" t="s">
        <v>299</v>
      </c>
      <c r="D8" s="321">
        <v>12.5</v>
      </c>
      <c r="F8" s="176">
        <f>D8/($D$7+SUM($D$7:$D$11))</f>
        <v>0.11627906976744186</v>
      </c>
      <c r="G8" s="193">
        <v>22.5</v>
      </c>
      <c r="H8" s="178">
        <f>F8*(100/G8)</f>
        <v>0.516795865633075</v>
      </c>
      <c r="I8" s="191"/>
    </row>
    <row r="9" spans="1:9" ht="90">
      <c r="A9" s="187" t="s">
        <v>235</v>
      </c>
      <c r="B9" s="184" t="s">
        <v>228</v>
      </c>
      <c r="C9" s="170" t="s">
        <v>229</v>
      </c>
      <c r="D9" s="321">
        <v>10</v>
      </c>
      <c r="F9" s="176">
        <f>D9/($D$7+SUM($D$7:$D$11))</f>
        <v>0.09302325581395349</v>
      </c>
      <c r="G9" s="193">
        <v>100</v>
      </c>
      <c r="H9" s="178">
        <f>F9*(100/G9)</f>
        <v>0.09302325581395349</v>
      </c>
      <c r="I9" s="191"/>
    </row>
    <row r="10" spans="1:9" ht="75">
      <c r="A10" s="187" t="s">
        <v>268</v>
      </c>
      <c r="B10" s="184" t="s">
        <v>266</v>
      </c>
      <c r="C10" s="170" t="s">
        <v>230</v>
      </c>
      <c r="D10" s="321">
        <v>10</v>
      </c>
      <c r="F10" s="176">
        <f>D10/($D$7+SUM($D$7:$D$11))</f>
        <v>0.09302325581395349</v>
      </c>
      <c r="G10" s="193">
        <v>20</v>
      </c>
      <c r="H10" s="178">
        <f>F10*(100/G10)</f>
        <v>0.46511627906976744</v>
      </c>
      <c r="I10" s="191"/>
    </row>
    <row r="11" spans="1:9" ht="75">
      <c r="A11" s="187" t="s">
        <v>236</v>
      </c>
      <c r="B11" s="184" t="s">
        <v>231</v>
      </c>
      <c r="C11" s="170" t="s">
        <v>232</v>
      </c>
      <c r="D11" s="321">
        <v>25</v>
      </c>
      <c r="F11" s="176">
        <f>D11/($D$7+SUM($D$7:$D$11))</f>
        <v>0.23255813953488372</v>
      </c>
      <c r="G11" s="194">
        <v>100</v>
      </c>
      <c r="H11" s="178">
        <f>F11*(100/G11)</f>
        <v>0.23255813953488372</v>
      </c>
      <c r="I11" s="191"/>
    </row>
    <row r="12" spans="4:8" ht="15">
      <c r="D12" s="14"/>
      <c r="F12" s="58"/>
      <c r="G12" s="58"/>
      <c r="H12" s="58"/>
    </row>
    <row r="13" spans="1:8" ht="30.75" customHeight="1">
      <c r="A13" s="263"/>
      <c r="B13" s="396" t="s">
        <v>339</v>
      </c>
      <c r="C13" s="397"/>
      <c r="D13" s="439">
        <v>0.03</v>
      </c>
      <c r="F13" s="58"/>
      <c r="G13" s="58"/>
      <c r="H13" s="58"/>
    </row>
    <row r="14" ht="15">
      <c r="D14" s="189"/>
    </row>
    <row r="15" ht="15">
      <c r="D15" s="189"/>
    </row>
    <row r="16" ht="15"/>
    <row r="17" ht="15"/>
    <row r="18" ht="15"/>
    <row r="19" ht="15"/>
    <row r="20" ht="15"/>
    <row r="21" ht="15"/>
    <row r="22" ht="15"/>
    <row r="23" ht="15"/>
    <row r="24" ht="15"/>
    <row r="25" ht="15"/>
    <row r="26" ht="15"/>
    <row r="27" ht="15"/>
    <row r="28" ht="15"/>
    <row r="29" ht="15"/>
  </sheetData>
  <sheetProtection formatCells="0"/>
  <printOptions/>
  <pageMargins left="0.75" right="0.75" top="1" bottom="1" header="0.5" footer="0.5"/>
  <pageSetup horizontalDpi="300" verticalDpi="300" orientation="portrait" scale="46" r:id="rId4"/>
  <colBreaks count="1" manualBreakCount="1">
    <brk id="4" max="65535" man="1"/>
  </colBreaks>
  <drawing r:id="rId3"/>
  <legacyDrawing r:id="rId2"/>
</worksheet>
</file>

<file path=xl/worksheets/sheet9.xml><?xml version="1.0" encoding="utf-8"?>
<worksheet xmlns="http://schemas.openxmlformats.org/spreadsheetml/2006/main" xmlns:r="http://schemas.openxmlformats.org/officeDocument/2006/relationships">
  <sheetPr codeName="Sheet18">
    <tabColor indexed="42"/>
  </sheetPr>
  <dimension ref="A1:D15"/>
  <sheetViews>
    <sheetView showRowColHeaders="0" workbookViewId="0" topLeftCell="A1">
      <selection activeCell="B10" sqref="B10"/>
    </sheetView>
  </sheetViews>
  <sheetFormatPr defaultColWidth="9.140625" defaultRowHeight="12.75" zeroHeight="1"/>
  <cols>
    <col min="1" max="1" width="24.57421875" style="0" customWidth="1"/>
    <col min="2" max="2" width="32.421875" style="0" customWidth="1"/>
    <col min="3" max="3" width="17.421875" style="0" customWidth="1"/>
    <col min="4" max="4" width="63.57421875" style="0" customWidth="1"/>
    <col min="5" max="16384" width="0" style="0" hidden="1" customWidth="1"/>
  </cols>
  <sheetData>
    <row r="1" spans="1:4" ht="15.75">
      <c r="A1" s="172" t="s">
        <v>328</v>
      </c>
      <c r="B1" s="195"/>
      <c r="C1" s="195"/>
      <c r="D1" s="195"/>
    </row>
    <row r="2" spans="1:4" ht="15.75">
      <c r="A2" s="350" t="s">
        <v>325</v>
      </c>
      <c r="B2" s="195"/>
      <c r="C2" s="195"/>
      <c r="D2" s="195"/>
    </row>
    <row r="3" spans="1:4" ht="15.75">
      <c r="A3" s="172" t="s">
        <v>324</v>
      </c>
      <c r="B3" s="195"/>
      <c r="C3" s="195"/>
      <c r="D3" s="195"/>
    </row>
    <row r="4" spans="1:4" ht="15.75">
      <c r="A4" s="172" t="s">
        <v>326</v>
      </c>
      <c r="B4" s="195"/>
      <c r="C4" s="195"/>
      <c r="D4" s="195"/>
    </row>
    <row r="5" spans="1:4" ht="15.75">
      <c r="A5" s="179" t="s">
        <v>329</v>
      </c>
      <c r="B5" s="195"/>
      <c r="C5" s="195"/>
      <c r="D5" s="195"/>
    </row>
    <row r="6" spans="1:4" ht="15.75">
      <c r="A6" s="179" t="s">
        <v>327</v>
      </c>
      <c r="B6" s="195"/>
      <c r="C6" s="195"/>
      <c r="D6" s="195"/>
    </row>
    <row r="7" spans="1:4" ht="15.75">
      <c r="A7" s="179" t="s">
        <v>336</v>
      </c>
      <c r="B7" s="195"/>
      <c r="C7" s="195"/>
      <c r="D7" s="195"/>
    </row>
    <row r="8" spans="1:4" ht="15.75">
      <c r="A8" s="179" t="s">
        <v>337</v>
      </c>
      <c r="B8" s="195"/>
      <c r="C8" s="195"/>
      <c r="D8" s="195"/>
    </row>
    <row r="9" spans="1:4" ht="16.5" thickBot="1">
      <c r="A9" s="179" t="s">
        <v>338</v>
      </c>
      <c r="B9" s="195"/>
      <c r="C9" s="195"/>
      <c r="D9" s="195"/>
    </row>
    <row r="10" spans="1:4" ht="80.25" thickBot="1" thickTop="1">
      <c r="A10" s="182" t="s">
        <v>321</v>
      </c>
      <c r="B10" s="181" t="s">
        <v>322</v>
      </c>
      <c r="C10" s="181" t="s">
        <v>154</v>
      </c>
      <c r="D10" s="14"/>
    </row>
    <row r="11" spans="1:4" ht="30.75" thickTop="1">
      <c r="A11" s="183" t="s">
        <v>331</v>
      </c>
      <c r="B11" s="180" t="s">
        <v>330</v>
      </c>
      <c r="C11" s="440">
        <v>100</v>
      </c>
      <c r="D11" s="14"/>
    </row>
    <row r="12" spans="1:4" ht="30">
      <c r="A12" s="184" t="s">
        <v>42</v>
      </c>
      <c r="B12" s="170" t="s">
        <v>332</v>
      </c>
      <c r="C12" s="321">
        <v>20</v>
      </c>
      <c r="D12" s="14"/>
    </row>
    <row r="13" spans="1:4" ht="30">
      <c r="A13" s="184" t="s">
        <v>41</v>
      </c>
      <c r="B13" s="170" t="s">
        <v>333</v>
      </c>
      <c r="C13" s="321">
        <v>10</v>
      </c>
      <c r="D13" s="14"/>
    </row>
    <row r="14" spans="1:4" ht="45">
      <c r="A14" s="184" t="s">
        <v>40</v>
      </c>
      <c r="B14" s="170" t="s">
        <v>335</v>
      </c>
      <c r="C14" s="321">
        <v>5</v>
      </c>
      <c r="D14" s="14"/>
    </row>
    <row r="15" spans="1:4" ht="30">
      <c r="A15" s="184" t="s">
        <v>323</v>
      </c>
      <c r="B15" s="170" t="s">
        <v>334</v>
      </c>
      <c r="C15" s="321">
        <v>2.5</v>
      </c>
      <c r="D15" s="14"/>
    </row>
  </sheetData>
  <sheetProtection sheet="1" objects="1" scenarios="1"/>
  <dataValidations count="1">
    <dataValidation type="decimal" allowBlank="1" showInputMessage="1" showErrorMessage="1" errorTitle="Value must be between 0 and 100." error="If the value of the change is equivalent to the value of reducing time from 500 years to less than 5 years, assign a value of 100.  If it is less, assign a value of less than 100 reflecting the relative difference. " sqref="C12:C15">
      <formula1>0</formula1>
      <formula2>100</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Geomatrix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E. Jenni</dc:creator>
  <cp:keywords/>
  <dc:description/>
  <cp:lastModifiedBy>kstelman</cp:lastModifiedBy>
  <cp:lastPrinted>2006-09-18T22:09:46Z</cp:lastPrinted>
  <dcterms:created xsi:type="dcterms:W3CDTF">2001-12-04T18:01:08Z</dcterms:created>
  <dcterms:modified xsi:type="dcterms:W3CDTF">2006-10-18T21:06:15Z</dcterms:modified>
  <cp:category/>
  <cp:version/>
  <cp:contentType/>
  <cp:contentStatus/>
</cp:coreProperties>
</file>